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Desktop\Curso contabilidad, nomina e impuestos\Nomina curso\"/>
    </mc:Choice>
  </mc:AlternateContent>
  <xr:revisionPtr revIDLastSave="0" documentId="13_ncr:1_{BE5FEC6F-8503-46D7-B48A-2029A6F09512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Hoja1" sheetId="1" r:id="rId1"/>
    <sheet name="ISR" sheetId="6" r:id="rId2"/>
    <sheet name="Hoja3" sheetId="8" r:id="rId3"/>
    <sheet name="NOMINA" sheetId="5" r:id="rId4"/>
    <sheet name="Bonificacion" sheetId="2" r:id="rId5"/>
    <sheet name="Horas extras" sheetId="3" r:id="rId6"/>
    <sheet name="Regalia pascual" sheetId="4" r:id="rId7"/>
    <sheet name="Vacaciones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6" l="1"/>
  <c r="H10" i="6"/>
  <c r="B11" i="6"/>
  <c r="B12" i="6"/>
  <c r="B13" i="6"/>
  <c r="B14" i="6"/>
  <c r="B15" i="6"/>
  <c r="B16" i="6"/>
  <c r="B17" i="6"/>
  <c r="B18" i="6"/>
  <c r="C11" i="6"/>
  <c r="C12" i="6"/>
  <c r="C13" i="6"/>
  <c r="C14" i="6"/>
  <c r="C15" i="6"/>
  <c r="C16" i="6"/>
  <c r="C17" i="6"/>
  <c r="C18" i="6"/>
  <c r="C10" i="6"/>
  <c r="B10" i="6"/>
  <c r="C11" i="3"/>
  <c r="E22" i="3"/>
  <c r="M8" i="1"/>
  <c r="F19" i="1"/>
  <c r="H8" i="1"/>
  <c r="F8" i="1"/>
  <c r="I16" i="6"/>
  <c r="I13" i="6"/>
  <c r="I12" i="6"/>
  <c r="A12" i="6" l="1"/>
  <c r="D15" i="6"/>
  <c r="E15" i="6" s="1"/>
  <c r="D16" i="6"/>
  <c r="E16" i="6" s="1"/>
  <c r="A17" i="6"/>
  <c r="A18" i="6"/>
  <c r="A11" i="6"/>
  <c r="A10" i="6"/>
  <c r="K9" i="1"/>
  <c r="K10" i="1"/>
  <c r="K11" i="1"/>
  <c r="K12" i="1"/>
  <c r="K13" i="1"/>
  <c r="K14" i="1"/>
  <c r="K15" i="1"/>
  <c r="K16" i="1"/>
  <c r="K8" i="1"/>
  <c r="L8" i="1" s="1"/>
  <c r="J9" i="1"/>
  <c r="J10" i="1"/>
  <c r="J11" i="1"/>
  <c r="J12" i="1"/>
  <c r="J13" i="1"/>
  <c r="J14" i="1"/>
  <c r="J15" i="1"/>
  <c r="J16" i="1"/>
  <c r="J8" i="1"/>
  <c r="H9" i="1"/>
  <c r="H10" i="1"/>
  <c r="H11" i="1"/>
  <c r="H12" i="1"/>
  <c r="H13" i="1"/>
  <c r="H14" i="1"/>
  <c r="H15" i="1"/>
  <c r="H16" i="1"/>
  <c r="F9" i="1"/>
  <c r="F10" i="1"/>
  <c r="F11" i="1"/>
  <c r="F12" i="1"/>
  <c r="F13" i="1"/>
  <c r="I13" i="1" s="1"/>
  <c r="M13" i="1" s="1"/>
  <c r="N13" i="1" s="1"/>
  <c r="F14" i="1"/>
  <c r="F15" i="1"/>
  <c r="F16" i="1"/>
  <c r="C15" i="5"/>
  <c r="D17" i="1"/>
  <c r="L14" i="1"/>
  <c r="L10" i="1"/>
  <c r="L15" i="1"/>
  <c r="P8" i="1"/>
  <c r="S22" i="1"/>
  <c r="E5" i="6"/>
  <c r="E4" i="6"/>
  <c r="F4" i="6" s="1"/>
  <c r="O20" i="1"/>
  <c r="D18" i="6" l="1"/>
  <c r="E18" i="6" s="1"/>
  <c r="B23" i="6"/>
  <c r="D17" i="6"/>
  <c r="E17" i="6" s="1"/>
  <c r="I17" i="6" s="1"/>
  <c r="D11" i="6"/>
  <c r="E11" i="6" s="1"/>
  <c r="I11" i="6" s="1"/>
  <c r="I15" i="6"/>
  <c r="D14" i="6"/>
  <c r="D13" i="6"/>
  <c r="E13" i="6" s="1"/>
  <c r="D12" i="6"/>
  <c r="E12" i="6" s="1"/>
  <c r="I9" i="1"/>
  <c r="M9" i="1" s="1"/>
  <c r="N9" i="1" s="1"/>
  <c r="L12" i="1"/>
  <c r="I12" i="1"/>
  <c r="M12" i="1" s="1"/>
  <c r="N12" i="1" s="1"/>
  <c r="I15" i="1"/>
  <c r="M15" i="1" s="1"/>
  <c r="N15" i="1" s="1"/>
  <c r="L16" i="1"/>
  <c r="I16" i="1"/>
  <c r="M16" i="1" s="1"/>
  <c r="N16" i="1" s="1"/>
  <c r="I14" i="1"/>
  <c r="M14" i="1" s="1"/>
  <c r="N14" i="1" s="1"/>
  <c r="L13" i="1"/>
  <c r="L11" i="1"/>
  <c r="I11" i="1"/>
  <c r="M11" i="1" s="1"/>
  <c r="N11" i="1" s="1"/>
  <c r="J17" i="1"/>
  <c r="K17" i="1"/>
  <c r="I10" i="1"/>
  <c r="M10" i="1" s="1"/>
  <c r="N10" i="1" s="1"/>
  <c r="L9" i="1"/>
  <c r="F17" i="1"/>
  <c r="I8" i="1"/>
  <c r="N8" i="1" s="1"/>
  <c r="H17" i="1"/>
  <c r="E14" i="6" l="1"/>
  <c r="I14" i="6" s="1"/>
  <c r="I17" i="1"/>
  <c r="L17" i="1"/>
  <c r="M17" i="1"/>
  <c r="O8" i="1" l="1"/>
  <c r="V5" i="5"/>
  <c r="J9" i="5" l="1"/>
  <c r="K9" i="5" s="1"/>
  <c r="V9" i="5"/>
  <c r="W9" i="5"/>
  <c r="Q10" i="5"/>
  <c r="X9" i="5" l="1"/>
  <c r="L9" i="5"/>
  <c r="O9" i="5" s="1"/>
  <c r="J5" i="5"/>
  <c r="P9" i="5" l="1"/>
  <c r="Q9" i="5" s="1"/>
  <c r="R9" i="5"/>
  <c r="U9" i="5" s="1"/>
  <c r="E5" i="2" l="1"/>
  <c r="E12" i="2"/>
  <c r="H12" i="2" s="1"/>
  <c r="I12" i="2" s="1"/>
  <c r="E13" i="2"/>
  <c r="H13" i="2" s="1"/>
  <c r="I13" i="2" s="1"/>
  <c r="E14" i="2"/>
  <c r="H14" i="2" s="1"/>
  <c r="I14" i="2" s="1"/>
  <c r="E15" i="2"/>
  <c r="H15" i="2" s="1"/>
  <c r="I15" i="2" s="1"/>
  <c r="E11" i="2"/>
  <c r="H11" i="2" s="1"/>
  <c r="E3" i="2"/>
  <c r="I11" i="2" l="1"/>
  <c r="I16" i="2" s="1"/>
  <c r="H16" i="2"/>
  <c r="J8" i="5"/>
  <c r="L8" i="5" l="1"/>
  <c r="O8" i="5"/>
  <c r="V8" i="5"/>
  <c r="W8" i="5"/>
  <c r="C16" i="5"/>
  <c r="K8" i="5"/>
  <c r="J6" i="5"/>
  <c r="K6" i="5" s="1"/>
  <c r="J7" i="5"/>
  <c r="V7" i="5"/>
  <c r="W7" i="5"/>
  <c r="V6" i="5"/>
  <c r="W6" i="5"/>
  <c r="W5" i="5"/>
  <c r="X5" i="5" s="1"/>
  <c r="X7" i="5" l="1"/>
  <c r="L6" i="5"/>
  <c r="O6" i="5"/>
  <c r="P6" i="5" s="1"/>
  <c r="Q6" i="5" s="1"/>
  <c r="X6" i="5"/>
  <c r="X8" i="5"/>
  <c r="L7" i="5"/>
  <c r="L5" i="5"/>
  <c r="P8" i="5"/>
  <c r="Q8" i="5" s="1"/>
  <c r="R8" i="5" s="1"/>
  <c r="U8" i="5" s="1"/>
  <c r="K5" i="5"/>
  <c r="R6" i="5"/>
  <c r="U6" i="5" s="1"/>
  <c r="K7" i="5"/>
  <c r="F5" i="6"/>
  <c r="F6" i="6" s="1"/>
  <c r="D10" i="6" l="1"/>
  <c r="E10" i="6" s="1"/>
  <c r="F10" i="6" s="1"/>
  <c r="G10" i="6" s="1"/>
  <c r="O5" i="5"/>
  <c r="P5" i="5" s="1"/>
  <c r="Q5" i="5" s="1"/>
  <c r="O7" i="5"/>
  <c r="B6" i="5"/>
  <c r="B7" i="5" s="1"/>
  <c r="B8" i="5" s="1"/>
  <c r="B9" i="5" s="1"/>
  <c r="B10" i="5" s="1"/>
  <c r="I10" i="6" l="1"/>
  <c r="P7" i="5"/>
  <c r="Q7" i="5" s="1"/>
  <c r="R7" i="5"/>
  <c r="U7" i="5" s="1"/>
  <c r="R5" i="5"/>
  <c r="U5" i="5" s="1"/>
  <c r="F12" i="3"/>
  <c r="C9" i="3"/>
  <c r="C10" i="3" s="1"/>
  <c r="E17" i="3" l="1"/>
  <c r="C12" i="3"/>
  <c r="E18" i="3" s="1"/>
  <c r="U11" i="5"/>
  <c r="U15" i="5" s="1"/>
  <c r="F18" i="3"/>
  <c r="E16" i="3"/>
  <c r="F17" i="3" l="1"/>
  <c r="F16" i="3"/>
  <c r="Q8" i="1" l="1"/>
  <c r="F19" i="3"/>
  <c r="G19" i="3" s="1"/>
  <c r="S23" i="1"/>
  <c r="S24" i="1" s="1"/>
  <c r="P3" i="4"/>
  <c r="P4" i="4"/>
  <c r="P5" i="4"/>
  <c r="P6" i="4"/>
  <c r="P7" i="4"/>
  <c r="P8" i="4"/>
  <c r="P9" i="4"/>
  <c r="P10" i="4"/>
  <c r="P11" i="4"/>
  <c r="R8" i="1" l="1"/>
  <c r="P9" i="1"/>
  <c r="P10" i="1"/>
  <c r="P11" i="1"/>
  <c r="P12" i="1"/>
  <c r="P13" i="1"/>
  <c r="P14" i="1"/>
  <c r="P15" i="1"/>
  <c r="P16" i="1"/>
  <c r="P17" i="1" l="1"/>
  <c r="S8" i="1"/>
  <c r="S17" i="1" s="1"/>
  <c r="O15" i="1"/>
  <c r="Q15" i="1" s="1"/>
  <c r="R15" i="1" s="1"/>
  <c r="O11" i="1"/>
  <c r="Q11" i="1" s="1"/>
  <c r="R11" i="1" s="1"/>
  <c r="O14" i="1"/>
  <c r="Q14" i="1" s="1"/>
  <c r="R14" i="1" s="1"/>
  <c r="O13" i="1"/>
  <c r="Q13" i="1" s="1"/>
  <c r="R13" i="1" s="1"/>
  <c r="O9" i="1"/>
  <c r="O16" i="1"/>
  <c r="Q16" i="1" s="1"/>
  <c r="R16" i="1" s="1"/>
  <c r="O12" i="1"/>
  <c r="Q12" i="1" s="1"/>
  <c r="R12" i="1" s="1"/>
  <c r="O10" i="1" l="1"/>
  <c r="Q10" i="1" s="1"/>
  <c r="R10" i="1" s="1"/>
  <c r="N17" i="1"/>
  <c r="Q9" i="1"/>
  <c r="O17" i="1" l="1"/>
  <c r="R9" i="1"/>
  <c r="R17" i="1" s="1"/>
  <c r="Q17" i="1"/>
</calcChain>
</file>

<file path=xl/sharedStrings.xml><?xml version="1.0" encoding="utf-8"?>
<sst xmlns="http://schemas.openxmlformats.org/spreadsheetml/2006/main" count="211" uniqueCount="187">
  <si>
    <t>Cargo</t>
  </si>
  <si>
    <t>ISR</t>
  </si>
  <si>
    <t>TOTAL DEDUCCION</t>
  </si>
  <si>
    <t>Ramon</t>
  </si>
  <si>
    <t>perez</t>
  </si>
  <si>
    <t>lucas</t>
  </si>
  <si>
    <t>martinez</t>
  </si>
  <si>
    <t>omar</t>
  </si>
  <si>
    <t>leonel</t>
  </si>
  <si>
    <t>danilo</t>
  </si>
  <si>
    <t>miguel</t>
  </si>
  <si>
    <t>faride</t>
  </si>
  <si>
    <t>administrador</t>
  </si>
  <si>
    <t>supervisor</t>
  </si>
  <si>
    <t>contador</t>
  </si>
  <si>
    <t xml:space="preserve">empacador </t>
  </si>
  <si>
    <t>encargado de RRHH</t>
  </si>
  <si>
    <t>Auditor</t>
  </si>
  <si>
    <t>gerente</t>
  </si>
  <si>
    <t>con fiscal</t>
  </si>
  <si>
    <t>encargada de compras</t>
  </si>
  <si>
    <t>Aporte empleados</t>
  </si>
  <si>
    <t xml:space="preserve">INFOTEP </t>
  </si>
  <si>
    <t>Sueldo neto a cobrar</t>
  </si>
  <si>
    <t>porcentaje</t>
  </si>
  <si>
    <t>Escala</t>
  </si>
  <si>
    <t>monto</t>
  </si>
  <si>
    <t>Escala minima</t>
  </si>
  <si>
    <t>Escala intermedia</t>
  </si>
  <si>
    <t>Escala maxima</t>
  </si>
  <si>
    <t>(J5-L19)*K19+M19</t>
  </si>
  <si>
    <t>Salario diario</t>
  </si>
  <si>
    <t>Salario</t>
  </si>
  <si>
    <t>Fecha actual</t>
  </si>
  <si>
    <t>Bonificacion de ley</t>
  </si>
  <si>
    <t>Dias de bonificacion</t>
  </si>
  <si>
    <t>Total a pagar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</si>
  <si>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</si>
  <si>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</si>
  <si>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</si>
  <si>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</si>
  <si>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</si>
  <si>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</si>
  <si>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</si>
  <si>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</si>
  <si>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</si>
  <si>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</si>
  <si>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</si>
  <si>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</si>
  <si>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Costo del trabajador</t>
  </si>
  <si>
    <t>cedula</t>
  </si>
  <si>
    <t>GENERALIDADES</t>
  </si>
  <si>
    <t>402-0000000-0</t>
  </si>
  <si>
    <t>402-0000000-1</t>
  </si>
  <si>
    <t>402-0000000-2</t>
  </si>
  <si>
    <t>402-0000000-3</t>
  </si>
  <si>
    <t>402-0000000-4</t>
  </si>
  <si>
    <t>402-0000000-5</t>
  </si>
  <si>
    <t>402-0000000-6</t>
  </si>
  <si>
    <t>402-0000000-7</t>
  </si>
  <si>
    <t>402-0000000-8</t>
  </si>
  <si>
    <t>DEDUCCIONES</t>
  </si>
  <si>
    <t>Sueldo</t>
  </si>
  <si>
    <t>suledo diario</t>
  </si>
  <si>
    <t>sueldo por hora</t>
  </si>
  <si>
    <t>&gt;44 y &lt;69</t>
  </si>
  <si>
    <t>DIURNA</t>
  </si>
  <si>
    <t>nocturna</t>
  </si>
  <si>
    <t>HORAS NOCTURNAS</t>
  </si>
  <si>
    <t>HORAS DIURNAS</t>
  </si>
  <si>
    <t>TOTAL A PAGAR</t>
  </si>
  <si>
    <t>HORAS al 100%</t>
  </si>
  <si>
    <t>&gt;44 y =68</t>
  </si>
  <si>
    <t>HORAS</t>
  </si>
  <si>
    <t>VALOR DE LAS HORAS</t>
  </si>
  <si>
    <t>VALOR A PAGAR</t>
  </si>
  <si>
    <t>&gt;68 Y NO LABORABLE</t>
  </si>
  <si>
    <t>CONDICIONES</t>
  </si>
  <si>
    <t>SUELDO</t>
  </si>
  <si>
    <t>CEDULA</t>
  </si>
  <si>
    <t xml:space="preserve">FECHA DE INGRESO </t>
  </si>
  <si>
    <t xml:space="preserve">NOMBRE </t>
  </si>
  <si>
    <t>PUESTO</t>
  </si>
  <si>
    <t>031-0109456-4</t>
  </si>
  <si>
    <t>031-0109456-5</t>
  </si>
  <si>
    <t>031-0145456-8</t>
  </si>
  <si>
    <t>031-0145456-9</t>
  </si>
  <si>
    <t>025-0145456-5</t>
  </si>
  <si>
    <t>025-0145456-7</t>
  </si>
  <si>
    <t xml:space="preserve">COMSION </t>
  </si>
  <si>
    <t>VACACIONES</t>
  </si>
  <si>
    <t>DESC TRABAJADOR</t>
  </si>
  <si>
    <t>TOTAL AFP</t>
  </si>
  <si>
    <t>TOTAL SFS</t>
  </si>
  <si>
    <t>SALARIO COTIZABLE DGII</t>
  </si>
  <si>
    <t>ISR COBRADO</t>
  </si>
  <si>
    <t xml:space="preserve">INGRESOS EXENTOS </t>
  </si>
  <si>
    <t>SUELDO BRUTO</t>
  </si>
  <si>
    <t>HORAS EXTRAS</t>
  </si>
  <si>
    <t>REGALIA PASCUAL</t>
  </si>
  <si>
    <t>APORTE EMPRESA</t>
  </si>
  <si>
    <t>COSTO DEL TRABAJDOR</t>
  </si>
  <si>
    <t>VALOR A SUMAR</t>
  </si>
  <si>
    <t>Escala media</t>
  </si>
  <si>
    <t>Salario bruto</t>
  </si>
  <si>
    <t>SFS</t>
  </si>
  <si>
    <t>AFP</t>
  </si>
  <si>
    <t>salario neto anual</t>
  </si>
  <si>
    <t>salario neto  anual - monto (EXCEDENTE)</t>
  </si>
  <si>
    <t>multiplicacion de porcentaje</t>
  </si>
  <si>
    <t>porcentaje + VALOR A SUMAR</t>
  </si>
  <si>
    <t>dividir entre 12</t>
  </si>
  <si>
    <t>PRE-AVISO Y CESANTIA</t>
  </si>
  <si>
    <t>TOPE SALARIAL</t>
  </si>
  <si>
    <t>RAMON PEREZ</t>
  </si>
  <si>
    <t>ALBERTO QUEZADA</t>
  </si>
  <si>
    <t>ALAN ALBERTO</t>
  </si>
  <si>
    <t>RAMON RIJO</t>
  </si>
  <si>
    <t>SUELDO NETO</t>
  </si>
  <si>
    <t>SUELDO BRUTO + COMISIONES + VACACIONES</t>
  </si>
  <si>
    <t>SUELDO TSS</t>
  </si>
  <si>
    <t>SALE DE LA ESCALA</t>
  </si>
  <si>
    <t>SALARIO COTIZABLE - ISR COBRADO</t>
  </si>
  <si>
    <t>BONIFICACION</t>
  </si>
  <si>
    <t>SUELDO TSS-DESCUENTOS + BONIFICACION + HORAS EXTRAS</t>
  </si>
  <si>
    <t>APORTE A INFOTEP</t>
  </si>
  <si>
    <t>ANOS</t>
  </si>
  <si>
    <t>BONIFICACION A PAGAR</t>
  </si>
  <si>
    <t>NOMBRE</t>
  </si>
  <si>
    <t>UTILIDAD DE LA EMPRESA</t>
  </si>
  <si>
    <t>TOTAL A REPARTIR</t>
  </si>
  <si>
    <t>BONIFICACION DE LEY</t>
  </si>
  <si>
    <t>CONVERTIDOR</t>
  </si>
  <si>
    <t xml:space="preserve">&lt;3 </t>
  </si>
  <si>
    <t>3 O &gt;</t>
  </si>
  <si>
    <t xml:space="preserve">DIAS </t>
  </si>
  <si>
    <t>empleado 1</t>
  </si>
  <si>
    <t>empleado 2</t>
  </si>
  <si>
    <t>empleado 3</t>
  </si>
  <si>
    <t>empleado 4</t>
  </si>
  <si>
    <t>SALARIO COTIZABLE ANUAL</t>
  </si>
  <si>
    <t>ESCALA 2</t>
  </si>
  <si>
    <t>ESCALA 1</t>
  </si>
  <si>
    <t>ESCALA 3</t>
  </si>
  <si>
    <t>=((P5-L14)*K14)/12</t>
  </si>
  <si>
    <t>=((P5-L15)*K15+M15)/12</t>
  </si>
  <si>
    <t>=((P5-L16)*K16+M16)/12</t>
  </si>
  <si>
    <t>sueldo bruto  MAS APORTE DE LA EMPRESA</t>
  </si>
  <si>
    <t>Monto</t>
  </si>
  <si>
    <t>monto en mes</t>
  </si>
  <si>
    <t>Perez</t>
  </si>
  <si>
    <t>Lucas</t>
  </si>
  <si>
    <t>Martinez</t>
  </si>
  <si>
    <t>Omar</t>
  </si>
  <si>
    <t>Leonel</t>
  </si>
  <si>
    <t>Danilo</t>
  </si>
  <si>
    <t>Samuel</t>
  </si>
  <si>
    <t>Jorge</t>
  </si>
  <si>
    <t>Administrador</t>
  </si>
  <si>
    <t>Supervisor</t>
  </si>
  <si>
    <t>Contador</t>
  </si>
  <si>
    <t>Enpacador</t>
  </si>
  <si>
    <t>Encargado RRHH</t>
  </si>
  <si>
    <t>Gerente</t>
  </si>
  <si>
    <t xml:space="preserve">Auxiliar </t>
  </si>
  <si>
    <t>Encargado de compras</t>
  </si>
  <si>
    <t>Sueldo bruto anual</t>
  </si>
  <si>
    <t>SFS  3.04%</t>
  </si>
  <si>
    <t>AFP  2.87%</t>
  </si>
  <si>
    <t>SFS 7.09%</t>
  </si>
  <si>
    <t>AFP  7.10%</t>
  </si>
  <si>
    <t>Total de deducciones</t>
  </si>
  <si>
    <t xml:space="preserve">Total de aportes </t>
  </si>
  <si>
    <t>Aporte empleador</t>
  </si>
  <si>
    <t>Sueldo bruto mensual</t>
  </si>
  <si>
    <t>Totales</t>
  </si>
  <si>
    <t>Si es mensual</t>
  </si>
  <si>
    <t>Si es quincenal</t>
  </si>
  <si>
    <t>Si es semanal</t>
  </si>
  <si>
    <t xml:space="preserve">Nombres </t>
  </si>
  <si>
    <t>Sueldo bruto</t>
  </si>
  <si>
    <t xml:space="preserve">Percapita </t>
  </si>
  <si>
    <t>Salario bruto mensual</t>
  </si>
  <si>
    <t xml:space="preserve"> </t>
  </si>
  <si>
    <t>Horas extras</t>
  </si>
  <si>
    <t>Maria</t>
  </si>
  <si>
    <t>/23.83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</si>
</sst>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#,##0.00\ ;&quot; (&quot;#,##0.00\);&quot; -&quot;#\ ;@\ "/>
    <numFmt numFmtId="166" formatCode="#,##0.000000"/>
    <numFmt numFmtId="167" formatCode="#,##0.0"/>
    <numFmt numFmtId="168" formatCode="&quot;$&quot;#,##0.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165" fontId="3" fillId="0" borderId="0" applyFill="0" applyBorder="0" applyAlignment="0" applyProtection="0"/>
    <xf numFmtId="43" fontId="11" fillId="0" borderId="0" applyFont="0" applyFill="0" applyBorder="0" applyAlignment="0" applyProtection="0"/>
  </cellStyleXfs>
  <cellXfs count="101">
    <xf numFmtId="0" fontId="0" fillId="0" borderId="0" xfId="0"/>
    <xf numFmtId="164" fontId="0" fillId="0" borderId="0" xfId="0" applyNumberFormat="1"/>
    <xf numFmtId="9" fontId="0" fillId="0" borderId="0" xfId="0" applyNumberFormat="1"/>
    <xf numFmtId="0" fontId="2" fillId="2" borderId="0" xfId="0" applyFont="1" applyFill="1" applyAlignment="1">
      <alignment horizontal="center"/>
    </xf>
    <xf numFmtId="4" fontId="0" fillId="0" borderId="0" xfId="0" applyNumberFormat="1"/>
    <xf numFmtId="44" fontId="0" fillId="0" borderId="0" xfId="0" applyNumberFormat="1"/>
    <xf numFmtId="2" fontId="0" fillId="0" borderId="0" xfId="0" applyNumberFormat="1"/>
    <xf numFmtId="0" fontId="0" fillId="0" borderId="1" xfId="0" applyBorder="1"/>
    <xf numFmtId="164" fontId="0" fillId="0" borderId="1" xfId="0" applyNumberFormat="1" applyBorder="1"/>
    <xf numFmtId="9" fontId="0" fillId="0" borderId="1" xfId="0" applyNumberFormat="1" applyBorder="1"/>
    <xf numFmtId="0" fontId="1" fillId="3" borderId="1" xfId="0" applyFont="1" applyFill="1" applyBorder="1" applyAlignment="1">
      <alignment horizontal="center"/>
    </xf>
    <xf numFmtId="44" fontId="0" fillId="0" borderId="1" xfId="0" applyNumberFormat="1" applyBorder="1"/>
    <xf numFmtId="0" fontId="5" fillId="0" borderId="12" xfId="1" applyFont="1" applyBorder="1" applyAlignment="1">
      <alignment horizontal="center"/>
    </xf>
    <xf numFmtId="0" fontId="6" fillId="0" borderId="1" xfId="1" applyFont="1" applyBorder="1"/>
    <xf numFmtId="14" fontId="6" fillId="0" borderId="1" xfId="1" applyNumberFormat="1" applyFont="1" applyBorder="1" applyAlignment="1">
      <alignment horizontal="right"/>
    </xf>
    <xf numFmtId="0" fontId="7" fillId="0" borderId="1" xfId="1" applyFont="1" applyBorder="1"/>
    <xf numFmtId="165" fontId="3" fillId="0" borderId="1" xfId="2" applyFill="1" applyBorder="1"/>
    <xf numFmtId="14" fontId="6" fillId="0" borderId="1" xfId="1" applyNumberFormat="1" applyFont="1" applyBorder="1"/>
    <xf numFmtId="0" fontId="8" fillId="0" borderId="1" xfId="1" applyFont="1" applyBorder="1"/>
    <xf numFmtId="165" fontId="7" fillId="0" borderId="13" xfId="2" applyFont="1" applyFill="1" applyBorder="1" applyAlignment="1" applyProtection="1">
      <alignment horizontal="right"/>
    </xf>
    <xf numFmtId="165" fontId="7" fillId="0" borderId="1" xfId="2" applyFont="1" applyFill="1" applyBorder="1" applyAlignment="1" applyProtection="1">
      <alignment horizontal="right"/>
    </xf>
    <xf numFmtId="165" fontId="7" fillId="6" borderId="1" xfId="1" applyNumberFormat="1" applyFont="1" applyFill="1" applyBorder="1" applyAlignment="1">
      <alignment horizontal="center"/>
    </xf>
    <xf numFmtId="165" fontId="7" fillId="0" borderId="13" xfId="1" applyNumberFormat="1" applyFont="1" applyBorder="1" applyAlignment="1">
      <alignment horizontal="center"/>
    </xf>
    <xf numFmtId="0" fontId="5" fillId="9" borderId="14" xfId="1" applyFont="1" applyFill="1" applyBorder="1" applyAlignment="1">
      <alignment horizontal="center"/>
    </xf>
    <xf numFmtId="0" fontId="5" fillId="9" borderId="15" xfId="1" applyFont="1" applyFill="1" applyBorder="1" applyAlignment="1">
      <alignment horizontal="center"/>
    </xf>
    <xf numFmtId="0" fontId="4" fillId="9" borderId="16" xfId="1" applyFont="1" applyFill="1" applyBorder="1"/>
    <xf numFmtId="0" fontId="4" fillId="9" borderId="17" xfId="1" applyFont="1" applyFill="1" applyBorder="1"/>
    <xf numFmtId="4" fontId="0" fillId="10" borderId="1" xfId="0" applyNumberFormat="1" applyFill="1" applyBorder="1"/>
    <xf numFmtId="3" fontId="1" fillId="10" borderId="1" xfId="0" applyNumberFormat="1" applyFont="1" applyFill="1" applyBorder="1" applyAlignment="1">
      <alignment horizontal="center"/>
    </xf>
    <xf numFmtId="4" fontId="1" fillId="10" borderId="1" xfId="0" applyNumberFormat="1" applyFont="1" applyFill="1" applyBorder="1" applyAlignment="1">
      <alignment horizontal="center"/>
    </xf>
    <xf numFmtId="4" fontId="0" fillId="0" borderId="1" xfId="0" applyNumberFormat="1" applyBorder="1"/>
    <xf numFmtId="0" fontId="5" fillId="7" borderId="1" xfId="1" applyFont="1" applyFill="1" applyBorder="1" applyAlignment="1">
      <alignment horizontal="center"/>
    </xf>
    <xf numFmtId="0" fontId="4" fillId="7" borderId="1" xfId="1" applyFont="1" applyFill="1" applyBorder="1"/>
    <xf numFmtId="166" fontId="0" fillId="0" borderId="0" xfId="0" applyNumberFormat="1"/>
    <xf numFmtId="165" fontId="3" fillId="0" borderId="13" xfId="2" applyFill="1" applyBorder="1"/>
    <xf numFmtId="167" fontId="0" fillId="0" borderId="1" xfId="0" applyNumberFormat="1" applyBorder="1"/>
    <xf numFmtId="165" fontId="0" fillId="0" borderId="0" xfId="0" applyNumberFormat="1"/>
    <xf numFmtId="14" fontId="0" fillId="0" borderId="1" xfId="0" applyNumberFormat="1" applyBorder="1"/>
    <xf numFmtId="1" fontId="0" fillId="0" borderId="1" xfId="0" applyNumberFormat="1" applyBorder="1"/>
    <xf numFmtId="0" fontId="1" fillId="12" borderId="1" xfId="0" applyFont="1" applyFill="1" applyBorder="1" applyAlignment="1">
      <alignment horizontal="center"/>
    </xf>
    <xf numFmtId="168" fontId="0" fillId="0" borderId="1" xfId="0" applyNumberFormat="1" applyBorder="1"/>
    <xf numFmtId="0" fontId="0" fillId="12" borderId="1" xfId="0" applyFill="1" applyBorder="1"/>
    <xf numFmtId="0" fontId="0" fillId="12" borderId="1" xfId="0" applyFill="1" applyBorder="1" applyAlignment="1">
      <alignment horizontal="center"/>
    </xf>
    <xf numFmtId="0" fontId="0" fillId="0" borderId="0" xfId="0" quotePrefix="1"/>
    <xf numFmtId="164" fontId="0" fillId="0" borderId="0" xfId="0" quotePrefix="1" applyNumberFormat="1"/>
    <xf numFmtId="44" fontId="0" fillId="0" borderId="0" xfId="0" quotePrefix="1" applyNumberFormat="1"/>
    <xf numFmtId="44" fontId="0" fillId="0" borderId="1" xfId="0" quotePrefix="1" applyNumberFormat="1" applyBorder="1"/>
    <xf numFmtId="0" fontId="2" fillId="2" borderId="1" xfId="0" applyFont="1" applyFill="1" applyBorder="1" applyAlignment="1">
      <alignment horizontal="center"/>
    </xf>
    <xf numFmtId="164" fontId="1" fillId="0" borderId="1" xfId="0" applyNumberFormat="1" applyFont="1" applyBorder="1"/>
    <xf numFmtId="0" fontId="1" fillId="4" borderId="1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10" fillId="0" borderId="1" xfId="0" applyNumberFormat="1" applyFont="1" applyBorder="1"/>
    <xf numFmtId="10" fontId="0" fillId="13" borderId="1" xfId="0" applyNumberFormat="1" applyFill="1" applyBorder="1" applyAlignment="1">
      <alignment horizontal="center"/>
    </xf>
    <xf numFmtId="4" fontId="9" fillId="2" borderId="1" xfId="0" applyNumberFormat="1" applyFont="1" applyFill="1" applyBorder="1" applyAlignment="1">
      <alignment horizontal="center"/>
    </xf>
    <xf numFmtId="4" fontId="9" fillId="0" borderId="1" xfId="0" applyNumberFormat="1" applyFont="1" applyBorder="1"/>
    <xf numFmtId="9" fontId="9" fillId="0" borderId="1" xfId="0" applyNumberFormat="1" applyFont="1" applyBorder="1"/>
    <xf numFmtId="4" fontId="0" fillId="13" borderId="1" xfId="0" applyNumberFormat="1" applyFill="1" applyBorder="1"/>
    <xf numFmtId="4" fontId="0" fillId="14" borderId="1" xfId="0" applyNumberFormat="1" applyFill="1" applyBorder="1"/>
    <xf numFmtId="4" fontId="0" fillId="4" borderId="1" xfId="0" applyNumberFormat="1" applyFill="1" applyBorder="1"/>
    <xf numFmtId="4" fontId="0" fillId="15" borderId="1" xfId="0" applyNumberFormat="1" applyFill="1" applyBorder="1"/>
    <xf numFmtId="4" fontId="0" fillId="16" borderId="1" xfId="0" applyNumberFormat="1" applyFill="1" applyBorder="1"/>
    <xf numFmtId="4" fontId="0" fillId="17" borderId="1" xfId="0" applyNumberFormat="1" applyFill="1" applyBorder="1"/>
    <xf numFmtId="4" fontId="0" fillId="18" borderId="1" xfId="0" applyNumberFormat="1" applyFill="1" applyBorder="1"/>
    <xf numFmtId="0" fontId="1" fillId="5" borderId="1" xfId="0" applyFont="1" applyFill="1" applyBorder="1" applyAlignment="1">
      <alignment horizontal="center"/>
    </xf>
    <xf numFmtId="43" fontId="0" fillId="0" borderId="0" xfId="3" applyFo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1" fillId="13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4" fillId="6" borderId="6" xfId="1" applyFont="1" applyFill="1" applyBorder="1" applyAlignment="1">
      <alignment horizontal="center" wrapText="1"/>
    </xf>
    <xf numFmtId="0" fontId="4" fillId="6" borderId="8" xfId="1" applyFont="1" applyFill="1" applyBorder="1" applyAlignment="1">
      <alignment horizontal="center" wrapText="1"/>
    </xf>
    <xf numFmtId="0" fontId="4" fillId="6" borderId="11" xfId="1" applyFont="1" applyFill="1" applyBorder="1" applyAlignment="1">
      <alignment horizontal="center" wrapText="1"/>
    </xf>
    <xf numFmtId="0" fontId="5" fillId="7" borderId="6" xfId="1" applyFont="1" applyFill="1" applyBorder="1" applyAlignment="1">
      <alignment horizontal="center" wrapText="1"/>
    </xf>
    <xf numFmtId="0" fontId="5" fillId="7" borderId="8" xfId="1" applyFont="1" applyFill="1" applyBorder="1" applyAlignment="1">
      <alignment horizontal="center" wrapText="1"/>
    </xf>
    <xf numFmtId="0" fontId="5" fillId="7" borderId="11" xfId="1" applyFont="1" applyFill="1" applyBorder="1" applyAlignment="1">
      <alignment horizontal="center" wrapText="1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5" fillId="9" borderId="18" xfId="1" applyFont="1" applyFill="1" applyBorder="1" applyAlignment="1">
      <alignment horizontal="center"/>
    </xf>
    <xf numFmtId="0" fontId="0" fillId="11" borderId="1" xfId="0" applyFill="1" applyBorder="1" applyAlignment="1">
      <alignment horizontal="center" wrapText="1"/>
    </xf>
    <xf numFmtId="0" fontId="4" fillId="0" borderId="13" xfId="1" applyFont="1" applyBorder="1" applyAlignment="1">
      <alignment horizontal="center" vertical="center"/>
    </xf>
    <xf numFmtId="0" fontId="5" fillId="7" borderId="1" xfId="1" applyFont="1" applyFill="1" applyBorder="1" applyAlignment="1">
      <alignment horizontal="center"/>
    </xf>
    <xf numFmtId="0" fontId="4" fillId="8" borderId="1" xfId="1" applyFont="1" applyFill="1" applyBorder="1" applyAlignment="1">
      <alignment horizontal="center" vertical="center" wrapText="1"/>
    </xf>
    <xf numFmtId="0" fontId="5" fillId="7" borderId="1" xfId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wrapText="1"/>
    </xf>
    <xf numFmtId="0" fontId="1" fillId="3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</cellXfs>
  <cellStyles count="4">
    <cellStyle name="Comma" xfId="3" builtinId="3"/>
    <cellStyle name="Millares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1</xdr:row>
      <xdr:rowOff>114300</xdr:rowOff>
    </xdr:to>
    <xdr:sp macro="" textlink="">
      <xdr:nvSpPr>
        <xdr:cNvPr id="2" name="AutoShape 2" descr="Facebook Logo: Imágenes, fotos de stock y vectores | Shutterstock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876425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1</xdr:row>
      <xdr:rowOff>114300</xdr:rowOff>
    </xdr:to>
    <xdr:sp macro="" textlink="">
      <xdr:nvSpPr>
        <xdr:cNvPr id="9" name="AutoShape 2" descr="Facebook Logo: Imágenes, fotos de stock y vectores | Shutterstock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876425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160020</xdr:colOff>
      <xdr:row>20</xdr:row>
      <xdr:rowOff>38100</xdr:rowOff>
    </xdr:from>
    <xdr:to>
      <xdr:col>7</xdr:col>
      <xdr:colOff>1623783</xdr:colOff>
      <xdr:row>37</xdr:row>
      <xdr:rowOff>84093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6560" y="3695700"/>
          <a:ext cx="8344623" cy="31549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14</xdr:col>
      <xdr:colOff>153375</xdr:colOff>
      <xdr:row>22</xdr:row>
      <xdr:rowOff>15574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82880"/>
          <a:ext cx="11248095" cy="38560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5:T28"/>
  <sheetViews>
    <sheetView topLeftCell="F1" workbookViewId="0">
      <selection activeCell="N8" sqref="N8"/>
    </sheetView>
  </sheetViews>
  <sheetFormatPr defaultColWidth="11.5546875" defaultRowHeight="14.4" x14ac:dyDescent="0.3"/>
  <cols>
    <col min="2" max="2" width="20.6640625" bestFit="1" customWidth="1"/>
    <col min="3" max="3" width="20.6640625" customWidth="1"/>
    <col min="4" max="4" width="12.33203125" style="1" bestFit="1" customWidth="1"/>
    <col min="5" max="5" width="12.33203125" style="1" customWidth="1"/>
    <col min="6" max="6" width="11.44140625" style="1"/>
    <col min="7" max="7" width="11.5546875" style="1"/>
    <col min="8" max="8" width="17.77734375" style="1" customWidth="1"/>
    <col min="9" max="9" width="20.21875" style="1" customWidth="1"/>
    <col min="10" max="11" width="11.44140625" style="1"/>
    <col min="12" max="12" width="16.88671875" style="1" customWidth="1"/>
    <col min="13" max="13" width="20.77734375" style="1" customWidth="1"/>
    <col min="14" max="14" width="19.44140625" style="1" customWidth="1"/>
    <col min="15" max="15" width="15.33203125" style="1" customWidth="1"/>
    <col min="16" max="16" width="13.77734375" customWidth="1"/>
    <col min="17" max="17" width="17.88671875" style="1" bestFit="1" customWidth="1"/>
    <col min="18" max="18" width="19.33203125" bestFit="1" customWidth="1"/>
    <col min="19" max="19" width="19" bestFit="1" customWidth="1"/>
  </cols>
  <sheetData>
    <row r="5" spans="1:20" x14ac:dyDescent="0.3">
      <c r="A5" s="70" t="s">
        <v>51</v>
      </c>
      <c r="B5" s="70"/>
      <c r="C5" s="70"/>
      <c r="D5" s="70"/>
      <c r="E5" s="65"/>
      <c r="F5" s="71" t="s">
        <v>61</v>
      </c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68"/>
      <c r="S5" s="68"/>
    </row>
    <row r="6" spans="1:20" x14ac:dyDescent="0.3">
      <c r="A6" s="7"/>
      <c r="B6" s="7"/>
      <c r="C6" s="7"/>
      <c r="D6" s="8"/>
      <c r="E6" s="8"/>
      <c r="F6" s="69" t="s">
        <v>21</v>
      </c>
      <c r="G6" s="69"/>
      <c r="H6" s="69"/>
      <c r="I6" s="51"/>
      <c r="J6" s="69" t="s">
        <v>173</v>
      </c>
      <c r="K6" s="69"/>
      <c r="L6" s="51"/>
      <c r="M6" s="53"/>
      <c r="N6" s="48"/>
      <c r="O6" s="48"/>
      <c r="P6" s="48">
        <v>0.01</v>
      </c>
      <c r="Q6" s="48"/>
      <c r="R6" s="7"/>
      <c r="S6" s="7"/>
    </row>
    <row r="7" spans="1:20" x14ac:dyDescent="0.3">
      <c r="A7" s="49" t="s">
        <v>179</v>
      </c>
      <c r="B7" s="49" t="s">
        <v>0</v>
      </c>
      <c r="C7" s="49" t="s">
        <v>50</v>
      </c>
      <c r="D7" s="50" t="s">
        <v>180</v>
      </c>
      <c r="E7" s="50" t="s">
        <v>184</v>
      </c>
      <c r="F7" s="51" t="s">
        <v>167</v>
      </c>
      <c r="G7" s="51" t="s">
        <v>181</v>
      </c>
      <c r="H7" s="51" t="s">
        <v>168</v>
      </c>
      <c r="I7" s="51" t="s">
        <v>171</v>
      </c>
      <c r="J7" s="51" t="s">
        <v>169</v>
      </c>
      <c r="K7" s="51" t="s">
        <v>170</v>
      </c>
      <c r="L7" s="51" t="s">
        <v>172</v>
      </c>
      <c r="M7" s="51" t="s">
        <v>174</v>
      </c>
      <c r="N7" s="51" t="s">
        <v>166</v>
      </c>
      <c r="O7" s="51" t="s">
        <v>1</v>
      </c>
      <c r="P7" s="52" t="s">
        <v>22</v>
      </c>
      <c r="Q7" s="51" t="s">
        <v>2</v>
      </c>
      <c r="R7" s="51" t="s">
        <v>23</v>
      </c>
      <c r="S7" s="51" t="s">
        <v>49</v>
      </c>
    </row>
    <row r="8" spans="1:20" x14ac:dyDescent="0.3">
      <c r="A8" s="7" t="s">
        <v>3</v>
      </c>
      <c r="B8" s="7" t="s">
        <v>158</v>
      </c>
      <c r="C8" s="7" t="s">
        <v>52</v>
      </c>
      <c r="D8" s="8">
        <v>100000</v>
      </c>
      <c r="E8" s="8">
        <v>5000</v>
      </c>
      <c r="F8" s="8">
        <f>105000*3.04%</f>
        <v>3192</v>
      </c>
      <c r="G8" s="8"/>
      <c r="H8" s="8">
        <f>105000*2.87%</f>
        <v>3013.5</v>
      </c>
      <c r="I8" s="8">
        <f>+H8+F8</f>
        <v>6205.5</v>
      </c>
      <c r="J8" s="8">
        <f>+D8*7.09%</f>
        <v>7090.0000000000009</v>
      </c>
      <c r="K8" s="8">
        <f>+D8*7.1%</f>
        <v>7099.9999999999991</v>
      </c>
      <c r="L8" s="8">
        <f>+K8+J8</f>
        <v>14190</v>
      </c>
      <c r="M8" s="8">
        <f>+D8+E8-I8</f>
        <v>98794.5</v>
      </c>
      <c r="N8" s="8">
        <f>+M8*12</f>
        <v>1185534</v>
      </c>
      <c r="O8" s="8">
        <f t="shared" ref="O8:O16" si="0">IF(N8&gt;N$22,(N8-N$22)*M$22+O$22,IF(N8&gt;N$21,(N8-N$21)*M$21+O$21,IF(N8&gt;N$20,(N8-N$20)*M$20,0)))/12</f>
        <v>13281.562291666667</v>
      </c>
      <c r="P8" s="7">
        <f>D8*P$6</f>
        <v>1000</v>
      </c>
      <c r="Q8" s="8">
        <f>F8+H8+O8</f>
        <v>19487.062291666669</v>
      </c>
      <c r="R8" s="8">
        <f>D8-Q8</f>
        <v>80512.937708333338</v>
      </c>
      <c r="S8" s="8">
        <f>R8+J8+K8+P8</f>
        <v>95702.937708333338</v>
      </c>
      <c r="T8" t="s">
        <v>30</v>
      </c>
    </row>
    <row r="9" spans="1:20" x14ac:dyDescent="0.3">
      <c r="A9" s="7" t="s">
        <v>150</v>
      </c>
      <c r="B9" s="7" t="s">
        <v>159</v>
      </c>
      <c r="C9" s="7" t="s">
        <v>53</v>
      </c>
      <c r="D9" s="8">
        <v>75000</v>
      </c>
      <c r="E9" s="8"/>
      <c r="F9" s="8">
        <f t="shared" ref="F9:F16" si="1">+D9*3.04%</f>
        <v>2280</v>
      </c>
      <c r="G9" s="8"/>
      <c r="H9" s="8">
        <f t="shared" ref="H9:H16" si="2">+D9*2.87%</f>
        <v>2152.5</v>
      </c>
      <c r="I9" s="8">
        <f t="shared" ref="I9:I16" si="3">+H9+F9</f>
        <v>4432.5</v>
      </c>
      <c r="J9" s="8">
        <f t="shared" ref="J9:J16" si="4">+D9*7.09%</f>
        <v>5317.5</v>
      </c>
      <c r="K9" s="8">
        <f t="shared" ref="K9:K16" si="5">+D9*7.1%</f>
        <v>5324.9999999999991</v>
      </c>
      <c r="L9" s="8">
        <f t="shared" ref="L9:L16" si="6">+K9+J9</f>
        <v>10642.5</v>
      </c>
      <c r="M9" s="8">
        <f t="shared" ref="M9:M16" si="7">+D9-I9</f>
        <v>70567.5</v>
      </c>
      <c r="N9" s="8">
        <f t="shared" ref="N9:N16" si="8">+M9*12</f>
        <v>846810</v>
      </c>
      <c r="O9" s="8">
        <f t="shared" si="0"/>
        <v>6309.3498333333337</v>
      </c>
      <c r="P9" s="7">
        <f t="shared" ref="P9:P16" si="9">D9*P$6</f>
        <v>750</v>
      </c>
      <c r="Q9" s="8">
        <f t="shared" ref="Q9:Q16" si="10">F9+H9+O9</f>
        <v>10741.849833333334</v>
      </c>
      <c r="R9" s="8">
        <f t="shared" ref="R9:R16" si="11">D9-Q9</f>
        <v>64258.150166666666</v>
      </c>
      <c r="S9" s="7"/>
    </row>
    <row r="10" spans="1:20" x14ac:dyDescent="0.3">
      <c r="A10" s="7" t="s">
        <v>151</v>
      </c>
      <c r="B10" s="7" t="s">
        <v>160</v>
      </c>
      <c r="C10" s="7" t="s">
        <v>54</v>
      </c>
      <c r="D10" s="8">
        <v>60000</v>
      </c>
      <c r="E10" s="8"/>
      <c r="F10" s="8">
        <f t="shared" si="1"/>
        <v>1824</v>
      </c>
      <c r="G10" s="8"/>
      <c r="H10" s="8">
        <f t="shared" si="2"/>
        <v>1722</v>
      </c>
      <c r="I10" s="8">
        <f t="shared" si="3"/>
        <v>3546</v>
      </c>
      <c r="J10" s="8">
        <f t="shared" si="4"/>
        <v>4254</v>
      </c>
      <c r="K10" s="8">
        <f t="shared" si="5"/>
        <v>4260</v>
      </c>
      <c r="L10" s="8">
        <f t="shared" si="6"/>
        <v>8514</v>
      </c>
      <c r="M10" s="8">
        <f t="shared" si="7"/>
        <v>56454</v>
      </c>
      <c r="N10" s="8">
        <f t="shared" si="8"/>
        <v>677448</v>
      </c>
      <c r="O10" s="8">
        <f t="shared" si="0"/>
        <v>3486.6498333333329</v>
      </c>
      <c r="P10" s="7">
        <f t="shared" si="9"/>
        <v>600</v>
      </c>
      <c r="Q10" s="8">
        <f t="shared" si="10"/>
        <v>7032.6498333333329</v>
      </c>
      <c r="R10" s="8">
        <f t="shared" si="11"/>
        <v>52967.350166666671</v>
      </c>
      <c r="S10" s="7"/>
    </row>
    <row r="11" spans="1:20" x14ac:dyDescent="0.3">
      <c r="A11" s="7" t="s">
        <v>152</v>
      </c>
      <c r="B11" s="7" t="s">
        <v>161</v>
      </c>
      <c r="C11" s="7" t="s">
        <v>55</v>
      </c>
      <c r="D11" s="8">
        <v>30000</v>
      </c>
      <c r="E11" s="8"/>
      <c r="F11" s="8">
        <f t="shared" si="1"/>
        <v>912</v>
      </c>
      <c r="G11" s="8"/>
      <c r="H11" s="8">
        <f t="shared" si="2"/>
        <v>861</v>
      </c>
      <c r="I11" s="8">
        <f t="shared" si="3"/>
        <v>1773</v>
      </c>
      <c r="J11" s="8">
        <f t="shared" si="4"/>
        <v>2127</v>
      </c>
      <c r="K11" s="8">
        <f t="shared" si="5"/>
        <v>2130</v>
      </c>
      <c r="L11" s="8">
        <f t="shared" si="6"/>
        <v>4257</v>
      </c>
      <c r="M11" s="8">
        <f t="shared" si="7"/>
        <v>28227</v>
      </c>
      <c r="N11" s="8">
        <f t="shared" si="8"/>
        <v>338724</v>
      </c>
      <c r="O11" s="8">
        <f t="shared" si="0"/>
        <v>0</v>
      </c>
      <c r="P11" s="7">
        <f t="shared" si="9"/>
        <v>300</v>
      </c>
      <c r="Q11" s="8">
        <f t="shared" si="10"/>
        <v>1773</v>
      </c>
      <c r="R11" s="8">
        <f t="shared" si="11"/>
        <v>28227</v>
      </c>
      <c r="S11" s="7"/>
    </row>
    <row r="12" spans="1:20" x14ac:dyDescent="0.3">
      <c r="A12" s="7" t="s">
        <v>153</v>
      </c>
      <c r="B12" s="7" t="s">
        <v>162</v>
      </c>
      <c r="C12" s="7" t="s">
        <v>56</v>
      </c>
      <c r="D12" s="8">
        <v>45000</v>
      </c>
      <c r="E12" s="8"/>
      <c r="F12" s="8">
        <f t="shared" si="1"/>
        <v>1368</v>
      </c>
      <c r="G12" s="8"/>
      <c r="H12" s="8">
        <f t="shared" si="2"/>
        <v>1291.5</v>
      </c>
      <c r="I12" s="8">
        <f t="shared" si="3"/>
        <v>2659.5</v>
      </c>
      <c r="J12" s="8">
        <f t="shared" si="4"/>
        <v>3190.5</v>
      </c>
      <c r="K12" s="8">
        <f t="shared" si="5"/>
        <v>3194.9999999999995</v>
      </c>
      <c r="L12" s="8">
        <f t="shared" si="6"/>
        <v>6385.5</v>
      </c>
      <c r="M12" s="8">
        <f t="shared" si="7"/>
        <v>42340.5</v>
      </c>
      <c r="N12" s="8">
        <f t="shared" si="8"/>
        <v>508086</v>
      </c>
      <c r="O12" s="8">
        <f t="shared" si="0"/>
        <v>1148.3248749999998</v>
      </c>
      <c r="P12" s="7">
        <f t="shared" si="9"/>
        <v>450</v>
      </c>
      <c r="Q12" s="8">
        <f t="shared" si="10"/>
        <v>3807.8248749999998</v>
      </c>
      <c r="R12" s="8">
        <f t="shared" si="11"/>
        <v>41192.175125000002</v>
      </c>
      <c r="S12" s="7"/>
    </row>
    <row r="13" spans="1:20" x14ac:dyDescent="0.3">
      <c r="A13" s="7" t="s">
        <v>154</v>
      </c>
      <c r="B13" s="7" t="s">
        <v>17</v>
      </c>
      <c r="C13" s="7" t="s">
        <v>57</v>
      </c>
      <c r="D13" s="8">
        <v>70000</v>
      </c>
      <c r="E13" s="8"/>
      <c r="F13" s="8">
        <f t="shared" si="1"/>
        <v>2128</v>
      </c>
      <c r="G13" s="8"/>
      <c r="H13" s="8">
        <f t="shared" si="2"/>
        <v>2009</v>
      </c>
      <c r="I13" s="8">
        <f t="shared" si="3"/>
        <v>4137</v>
      </c>
      <c r="J13" s="8">
        <f t="shared" si="4"/>
        <v>4963</v>
      </c>
      <c r="K13" s="8">
        <f t="shared" si="5"/>
        <v>4970</v>
      </c>
      <c r="L13" s="8">
        <f t="shared" si="6"/>
        <v>9933</v>
      </c>
      <c r="M13" s="8">
        <f t="shared" si="7"/>
        <v>65863</v>
      </c>
      <c r="N13" s="8">
        <f t="shared" si="8"/>
        <v>790356</v>
      </c>
      <c r="O13" s="8">
        <f t="shared" si="0"/>
        <v>5368.4498333333331</v>
      </c>
      <c r="P13" s="7">
        <f t="shared" si="9"/>
        <v>700</v>
      </c>
      <c r="Q13" s="8">
        <f t="shared" si="10"/>
        <v>9505.4498333333322</v>
      </c>
      <c r="R13" s="8">
        <f t="shared" si="11"/>
        <v>60494.550166666668</v>
      </c>
      <c r="S13" s="7"/>
    </row>
    <row r="14" spans="1:20" x14ac:dyDescent="0.3">
      <c r="A14" s="7" t="s">
        <v>155</v>
      </c>
      <c r="B14" s="7" t="s">
        <v>163</v>
      </c>
      <c r="C14" s="7" t="s">
        <v>58</v>
      </c>
      <c r="D14" s="8">
        <v>65000</v>
      </c>
      <c r="E14" s="8"/>
      <c r="F14" s="8">
        <f t="shared" si="1"/>
        <v>1976</v>
      </c>
      <c r="G14" s="8"/>
      <c r="H14" s="8">
        <f t="shared" si="2"/>
        <v>1865.5</v>
      </c>
      <c r="I14" s="8">
        <f t="shared" si="3"/>
        <v>3841.5</v>
      </c>
      <c r="J14" s="8">
        <f t="shared" si="4"/>
        <v>4608.5</v>
      </c>
      <c r="K14" s="8">
        <f t="shared" si="5"/>
        <v>4615</v>
      </c>
      <c r="L14" s="8">
        <f t="shared" si="6"/>
        <v>9223.5</v>
      </c>
      <c r="M14" s="8">
        <f t="shared" si="7"/>
        <v>61158.5</v>
      </c>
      <c r="N14" s="8">
        <f t="shared" si="8"/>
        <v>733902</v>
      </c>
      <c r="O14" s="8">
        <f t="shared" si="0"/>
        <v>4427.5498333333335</v>
      </c>
      <c r="P14" s="7">
        <f t="shared" si="9"/>
        <v>650</v>
      </c>
      <c r="Q14" s="8">
        <f t="shared" si="10"/>
        <v>8269.0498333333344</v>
      </c>
      <c r="R14" s="8">
        <f t="shared" si="11"/>
        <v>56730.950166666662</v>
      </c>
      <c r="S14" s="7"/>
    </row>
    <row r="15" spans="1:20" x14ac:dyDescent="0.3">
      <c r="A15" s="7" t="s">
        <v>156</v>
      </c>
      <c r="B15" s="7" t="s">
        <v>164</v>
      </c>
      <c r="C15" s="7" t="s">
        <v>59</v>
      </c>
      <c r="D15" s="8">
        <v>37000</v>
      </c>
      <c r="E15" s="8"/>
      <c r="F15" s="8">
        <f t="shared" si="1"/>
        <v>1124.8</v>
      </c>
      <c r="G15" s="8"/>
      <c r="H15" s="8">
        <f t="shared" si="2"/>
        <v>1061.9000000000001</v>
      </c>
      <c r="I15" s="8">
        <f t="shared" si="3"/>
        <v>2186.6999999999998</v>
      </c>
      <c r="J15" s="8">
        <f t="shared" si="4"/>
        <v>2623.3</v>
      </c>
      <c r="K15" s="8">
        <f t="shared" si="5"/>
        <v>2626.9999999999995</v>
      </c>
      <c r="L15" s="8">
        <f t="shared" si="6"/>
        <v>5250.2999999999993</v>
      </c>
      <c r="M15" s="8">
        <f t="shared" si="7"/>
        <v>34813.300000000003</v>
      </c>
      <c r="N15" s="8">
        <f t="shared" si="8"/>
        <v>417759.60000000003</v>
      </c>
      <c r="O15" s="8">
        <f t="shared" si="0"/>
        <v>19.24487500000032</v>
      </c>
      <c r="P15" s="7">
        <f t="shared" si="9"/>
        <v>370</v>
      </c>
      <c r="Q15" s="8">
        <f t="shared" si="10"/>
        <v>2205.9448750000001</v>
      </c>
      <c r="R15" s="8">
        <f t="shared" si="11"/>
        <v>34794.055124999999</v>
      </c>
      <c r="S15" s="7"/>
    </row>
    <row r="16" spans="1:20" x14ac:dyDescent="0.3">
      <c r="A16" s="7" t="s">
        <v>157</v>
      </c>
      <c r="B16" s="7" t="s">
        <v>165</v>
      </c>
      <c r="C16" s="7" t="s">
        <v>60</v>
      </c>
      <c r="D16" s="8">
        <v>43000</v>
      </c>
      <c r="E16" s="8"/>
      <c r="F16" s="8">
        <f t="shared" si="1"/>
        <v>1307.2</v>
      </c>
      <c r="G16" s="8"/>
      <c r="H16" s="8">
        <f t="shared" si="2"/>
        <v>1234.0999999999999</v>
      </c>
      <c r="I16" s="8">
        <f t="shared" si="3"/>
        <v>2541.3000000000002</v>
      </c>
      <c r="J16" s="8">
        <f t="shared" si="4"/>
        <v>3048.7000000000003</v>
      </c>
      <c r="K16" s="8">
        <f t="shared" si="5"/>
        <v>3052.9999999999995</v>
      </c>
      <c r="L16" s="8">
        <f t="shared" si="6"/>
        <v>6101.7</v>
      </c>
      <c r="M16" s="8">
        <f t="shared" si="7"/>
        <v>40458.699999999997</v>
      </c>
      <c r="N16" s="8">
        <f t="shared" si="8"/>
        <v>485504.39999999997</v>
      </c>
      <c r="O16" s="8">
        <f t="shared" si="0"/>
        <v>866.05487499999936</v>
      </c>
      <c r="P16" s="7">
        <f t="shared" si="9"/>
        <v>430</v>
      </c>
      <c r="Q16" s="8">
        <f t="shared" si="10"/>
        <v>3407.3548749999995</v>
      </c>
      <c r="R16" s="8">
        <f t="shared" si="11"/>
        <v>39592.645125000003</v>
      </c>
      <c r="S16" s="7"/>
    </row>
    <row r="17" spans="2:19" x14ac:dyDescent="0.3">
      <c r="B17" s="67" t="s">
        <v>175</v>
      </c>
      <c r="C17" s="67"/>
      <c r="D17" s="48">
        <f>SUM(D8:D16)</f>
        <v>525000</v>
      </c>
      <c r="E17" s="48"/>
      <c r="F17" s="48">
        <f t="shared" ref="F17:S17" si="12">SUM(F8:F16)</f>
        <v>16112</v>
      </c>
      <c r="G17" s="48"/>
      <c r="H17" s="48">
        <f t="shared" si="12"/>
        <v>15211</v>
      </c>
      <c r="I17" s="48">
        <f t="shared" si="12"/>
        <v>31323</v>
      </c>
      <c r="J17" s="48">
        <f t="shared" si="12"/>
        <v>37222.5</v>
      </c>
      <c r="K17" s="48">
        <f t="shared" si="12"/>
        <v>37275</v>
      </c>
      <c r="L17" s="48">
        <f t="shared" si="12"/>
        <v>74497.5</v>
      </c>
      <c r="M17" s="48">
        <f t="shared" si="12"/>
        <v>498677</v>
      </c>
      <c r="N17" s="48">
        <f t="shared" si="12"/>
        <v>5984124</v>
      </c>
      <c r="O17" s="48">
        <f t="shared" si="12"/>
        <v>34907.186249999999</v>
      </c>
      <c r="P17" s="48">
        <f t="shared" si="12"/>
        <v>5250</v>
      </c>
      <c r="Q17" s="48">
        <f t="shared" si="12"/>
        <v>66230.186249999999</v>
      </c>
      <c r="R17" s="48">
        <f t="shared" si="12"/>
        <v>458769.81374999997</v>
      </c>
      <c r="S17" s="48">
        <f t="shared" si="12"/>
        <v>95702.937708333338</v>
      </c>
    </row>
    <row r="19" spans="2:19" x14ac:dyDescent="0.3">
      <c r="F19" s="1">
        <f>105000*3.04%</f>
        <v>3192</v>
      </c>
      <c r="L19" s="47" t="s">
        <v>25</v>
      </c>
      <c r="M19" s="47" t="s">
        <v>24</v>
      </c>
      <c r="N19" s="47" t="s">
        <v>26</v>
      </c>
      <c r="O19" s="47" t="s">
        <v>149</v>
      </c>
    </row>
    <row r="20" spans="2:19" x14ac:dyDescent="0.3">
      <c r="L20" s="7" t="s">
        <v>27</v>
      </c>
      <c r="M20" s="9">
        <v>0.15</v>
      </c>
      <c r="N20" s="30">
        <v>416220.01</v>
      </c>
      <c r="O20" s="8">
        <f>N20/12</f>
        <v>34685.000833333332</v>
      </c>
      <c r="R20" s="1"/>
      <c r="S20" s="5">
        <v>70000</v>
      </c>
    </row>
    <row r="21" spans="2:19" x14ac:dyDescent="0.3">
      <c r="L21" s="7" t="s">
        <v>28</v>
      </c>
      <c r="M21" s="9">
        <v>0.2</v>
      </c>
      <c r="N21" s="30">
        <v>624329.01</v>
      </c>
      <c r="O21" s="8">
        <v>31216</v>
      </c>
      <c r="R21" s="1"/>
      <c r="S21" s="5">
        <v>21656</v>
      </c>
    </row>
    <row r="22" spans="2:19" x14ac:dyDescent="0.3">
      <c r="L22" s="7" t="s">
        <v>29</v>
      </c>
      <c r="M22" s="9">
        <v>0.25</v>
      </c>
      <c r="N22" s="30">
        <v>867123.01</v>
      </c>
      <c r="O22" s="8">
        <v>79776</v>
      </c>
      <c r="R22" s="1"/>
      <c r="S22" s="5">
        <f>S20-S21</f>
        <v>48344</v>
      </c>
    </row>
    <row r="23" spans="2:19" x14ac:dyDescent="0.3">
      <c r="P23" s="1"/>
      <c r="S23" s="5">
        <f>S22*0.27</f>
        <v>13052.880000000001</v>
      </c>
    </row>
    <row r="24" spans="2:19" x14ac:dyDescent="0.3">
      <c r="P24" s="1"/>
      <c r="S24" s="5">
        <f>S22-S23</f>
        <v>35291.119999999995</v>
      </c>
    </row>
    <row r="25" spans="2:19" x14ac:dyDescent="0.3">
      <c r="P25" s="1"/>
    </row>
    <row r="26" spans="2:19" x14ac:dyDescent="0.3">
      <c r="P26" s="1"/>
    </row>
    <row r="27" spans="2:19" x14ac:dyDescent="0.3">
      <c r="P27" s="1"/>
    </row>
    <row r="28" spans="2:19" x14ac:dyDescent="0.3">
      <c r="P28" s="1"/>
    </row>
  </sheetData>
  <mergeCells count="6">
    <mergeCell ref="B17:C17"/>
    <mergeCell ref="R5:S5"/>
    <mergeCell ref="F6:H6"/>
    <mergeCell ref="J6:K6"/>
    <mergeCell ref="A5:D5"/>
    <mergeCell ref="F5:Q5"/>
  </mergeCells>
  <pageMargins left="0.7" right="0.7" top="0.75" bottom="0.75" header="0.3" footer="0.3"/>
  <pageSetup orientation="portrait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J23"/>
  <sheetViews>
    <sheetView tabSelected="1" topLeftCell="A19" zoomScaleNormal="100" workbookViewId="0">
      <selection activeCell="F2" sqref="F2"/>
    </sheetView>
  </sheetViews>
  <sheetFormatPr defaultColWidth="11.44140625" defaultRowHeight="14.4" x14ac:dyDescent="0.3"/>
  <cols>
    <col min="1" max="1" width="16.6640625" style="4" bestFit="1" customWidth="1"/>
    <col min="2" max="2" width="10.5546875" style="4" bestFit="1" customWidth="1"/>
    <col min="3" max="3" width="13.5546875" style="4" customWidth="1"/>
    <col min="4" max="4" width="19.6640625" style="4" bestFit="1" customWidth="1"/>
    <col min="5" max="5" width="16.88671875" style="4" bestFit="1" customWidth="1"/>
    <col min="6" max="6" width="37.109375" style="4" bestFit="1" customWidth="1"/>
    <col min="7" max="7" width="26.6640625" style="4" bestFit="1" customWidth="1"/>
    <col min="8" max="8" width="27.6640625" style="4" bestFit="1" customWidth="1"/>
    <col min="9" max="9" width="15" style="4" bestFit="1" customWidth="1"/>
    <col min="10" max="10" width="20" style="4" bestFit="1" customWidth="1"/>
    <col min="11" max="11" width="26.6640625" style="4" bestFit="1" customWidth="1"/>
    <col min="12" max="12" width="10.109375" style="4" bestFit="1" customWidth="1"/>
    <col min="13" max="16384" width="11.44140625" style="4"/>
  </cols>
  <sheetData>
    <row r="2" spans="1:10" x14ac:dyDescent="0.3">
      <c r="A2" s="55" t="s">
        <v>25</v>
      </c>
      <c r="B2" s="55" t="s">
        <v>24</v>
      </c>
      <c r="C2" s="55" t="s">
        <v>148</v>
      </c>
      <c r="D2" s="55" t="s">
        <v>102</v>
      </c>
    </row>
    <row r="3" spans="1:10" x14ac:dyDescent="0.3">
      <c r="A3" s="56" t="s">
        <v>27</v>
      </c>
      <c r="B3" s="57">
        <v>0.15</v>
      </c>
      <c r="C3" s="56">
        <v>416220.01</v>
      </c>
      <c r="D3" s="56">
        <v>0</v>
      </c>
    </row>
    <row r="4" spans="1:10" x14ac:dyDescent="0.3">
      <c r="A4" s="56" t="s">
        <v>103</v>
      </c>
      <c r="B4" s="57">
        <v>0.2</v>
      </c>
      <c r="C4" s="56">
        <v>624329.01</v>
      </c>
      <c r="D4" s="56">
        <v>31216</v>
      </c>
      <c r="E4" s="4">
        <f>C4-C3</f>
        <v>208109</v>
      </c>
      <c r="F4" s="4">
        <f>E4*B3</f>
        <v>31216.35</v>
      </c>
    </row>
    <row r="5" spans="1:10" x14ac:dyDescent="0.3">
      <c r="A5" s="56" t="s">
        <v>29</v>
      </c>
      <c r="B5" s="57">
        <v>0.25</v>
      </c>
      <c r="C5" s="56">
        <v>867123.01</v>
      </c>
      <c r="D5" s="56">
        <v>79776</v>
      </c>
      <c r="E5" s="4">
        <f>C5-C4</f>
        <v>242794</v>
      </c>
      <c r="F5" s="4">
        <f>E5*B4</f>
        <v>48558.8</v>
      </c>
    </row>
    <row r="6" spans="1:10" x14ac:dyDescent="0.3">
      <c r="B6"/>
      <c r="F6" s="4">
        <f>SUM(F4:F5)</f>
        <v>79775.149999999994</v>
      </c>
    </row>
    <row r="7" spans="1:10" x14ac:dyDescent="0.3">
      <c r="G7" s="4" t="s">
        <v>183</v>
      </c>
    </row>
    <row r="8" spans="1:10" x14ac:dyDescent="0.3">
      <c r="A8" s="27"/>
      <c r="B8" s="54">
        <v>3.04E-2</v>
      </c>
      <c r="C8" s="54">
        <v>2.87E-2</v>
      </c>
      <c r="D8" s="28">
        <v>1</v>
      </c>
      <c r="E8" s="28">
        <v>2</v>
      </c>
      <c r="F8" s="28">
        <v>3</v>
      </c>
      <c r="G8" s="28">
        <v>4</v>
      </c>
      <c r="H8" s="28">
        <v>5</v>
      </c>
      <c r="I8" s="28">
        <v>6</v>
      </c>
    </row>
    <row r="9" spans="1:10" x14ac:dyDescent="0.3">
      <c r="A9" s="29" t="s">
        <v>104</v>
      </c>
      <c r="B9" s="29" t="s">
        <v>105</v>
      </c>
      <c r="C9" s="29" t="s">
        <v>106</v>
      </c>
      <c r="D9" s="29" t="s">
        <v>182</v>
      </c>
      <c r="E9" s="29" t="s">
        <v>107</v>
      </c>
      <c r="F9" s="29" t="s">
        <v>108</v>
      </c>
      <c r="G9" s="29" t="s">
        <v>109</v>
      </c>
      <c r="H9" s="29" t="s">
        <v>110</v>
      </c>
      <c r="I9" s="29" t="s">
        <v>111</v>
      </c>
    </row>
    <row r="10" spans="1:10" x14ac:dyDescent="0.3">
      <c r="A10" s="59">
        <f>+Hoja1!D8</f>
        <v>100000</v>
      </c>
      <c r="B10" s="59">
        <f>+A10*3.04%</f>
        <v>3040</v>
      </c>
      <c r="C10" s="59">
        <f>+A10*2.87%</f>
        <v>2870</v>
      </c>
      <c r="D10" s="59">
        <f>A10-B10-C10</f>
        <v>94090</v>
      </c>
      <c r="E10" s="59">
        <f>+D10*12</f>
        <v>1129080</v>
      </c>
      <c r="F10" s="59">
        <f>+E10-C5</f>
        <v>261956.99</v>
      </c>
      <c r="G10" s="59">
        <f>+F10*25%</f>
        <v>65489.247499999998</v>
      </c>
      <c r="H10" s="59">
        <f>+G10+D5</f>
        <v>145265.2475</v>
      </c>
      <c r="I10" s="58">
        <f t="shared" ref="I10:I15" si="0">+H10/12</f>
        <v>12105.437291666667</v>
      </c>
      <c r="J10" s="4">
        <f>+D10-I10</f>
        <v>81984.562708333338</v>
      </c>
    </row>
    <row r="11" spans="1:10" x14ac:dyDescent="0.3">
      <c r="A11" s="59">
        <f>+Hoja1!D9</f>
        <v>75000</v>
      </c>
      <c r="B11" s="59">
        <f t="shared" ref="B11:B18" si="1">+A11*3.04%</f>
        <v>2280</v>
      </c>
      <c r="C11" s="59">
        <f t="shared" ref="C11:C18" si="2">+A11*2.87%</f>
        <v>2152.5</v>
      </c>
      <c r="D11" s="59">
        <f t="shared" ref="D11:D18" si="3">A11-B11-C11</f>
        <v>70567.5</v>
      </c>
      <c r="E11" s="59">
        <f t="shared" ref="E11:E18" si="4">+D11*12</f>
        <v>846810</v>
      </c>
      <c r="F11" s="59"/>
      <c r="G11" s="59"/>
      <c r="H11" s="59"/>
      <c r="I11" s="58">
        <f t="shared" si="0"/>
        <v>0</v>
      </c>
    </row>
    <row r="12" spans="1:10" x14ac:dyDescent="0.3">
      <c r="A12" s="60">
        <f>+Hoja1!D10</f>
        <v>60000</v>
      </c>
      <c r="B12" s="59">
        <f t="shared" si="1"/>
        <v>1824</v>
      </c>
      <c r="C12" s="59">
        <f t="shared" si="2"/>
        <v>1722</v>
      </c>
      <c r="D12" s="60">
        <f t="shared" si="3"/>
        <v>56454</v>
      </c>
      <c r="E12" s="60">
        <f>+D12*12</f>
        <v>677448</v>
      </c>
      <c r="F12" s="60"/>
      <c r="G12" s="60"/>
      <c r="H12" s="60"/>
      <c r="I12" s="60">
        <f t="shared" si="0"/>
        <v>0</v>
      </c>
    </row>
    <row r="13" spans="1:10" x14ac:dyDescent="0.3">
      <c r="A13" s="30">
        <v>85000</v>
      </c>
      <c r="B13" s="59">
        <f t="shared" si="1"/>
        <v>2584</v>
      </c>
      <c r="C13" s="59">
        <f t="shared" si="2"/>
        <v>2439.5</v>
      </c>
      <c r="D13" s="30">
        <f t="shared" si="3"/>
        <v>79976.5</v>
      </c>
      <c r="E13" s="30">
        <f t="shared" si="4"/>
        <v>959718</v>
      </c>
      <c r="F13" s="30"/>
      <c r="G13" s="30"/>
      <c r="H13" s="30"/>
      <c r="I13" s="30">
        <f t="shared" si="0"/>
        <v>0</v>
      </c>
    </row>
    <row r="14" spans="1:10" x14ac:dyDescent="0.3">
      <c r="A14" s="62">
        <v>115000</v>
      </c>
      <c r="B14" s="59">
        <f t="shared" si="1"/>
        <v>3496</v>
      </c>
      <c r="C14" s="59">
        <f t="shared" si="2"/>
        <v>3300.5</v>
      </c>
      <c r="D14" s="62">
        <f t="shared" si="3"/>
        <v>108203.5</v>
      </c>
      <c r="E14" s="62">
        <f t="shared" si="4"/>
        <v>1298442</v>
      </c>
      <c r="F14" s="62"/>
      <c r="G14" s="62"/>
      <c r="H14" s="62"/>
      <c r="I14" s="62">
        <f t="shared" si="0"/>
        <v>0</v>
      </c>
    </row>
    <row r="15" spans="1:10" x14ac:dyDescent="0.3">
      <c r="A15" s="63">
        <v>150000</v>
      </c>
      <c r="B15" s="59">
        <f t="shared" si="1"/>
        <v>4560</v>
      </c>
      <c r="C15" s="59">
        <f t="shared" si="2"/>
        <v>4305</v>
      </c>
      <c r="D15" s="63">
        <f t="shared" si="3"/>
        <v>141135</v>
      </c>
      <c r="E15" s="63">
        <f t="shared" si="4"/>
        <v>1693620</v>
      </c>
      <c r="F15" s="63"/>
      <c r="G15" s="63"/>
      <c r="H15" s="63"/>
      <c r="I15" s="63">
        <f t="shared" si="0"/>
        <v>0</v>
      </c>
    </row>
    <row r="16" spans="1:10" x14ac:dyDescent="0.3">
      <c r="A16" s="61">
        <v>43000</v>
      </c>
      <c r="B16" s="59">
        <f t="shared" si="1"/>
        <v>1307.2</v>
      </c>
      <c r="C16" s="59">
        <f t="shared" si="2"/>
        <v>1234.0999999999999</v>
      </c>
      <c r="D16" s="61">
        <f t="shared" si="3"/>
        <v>40458.700000000004</v>
      </c>
      <c r="E16" s="61">
        <f t="shared" si="4"/>
        <v>485504.4</v>
      </c>
      <c r="F16" s="61"/>
      <c r="G16" s="61"/>
      <c r="H16" s="61"/>
      <c r="I16" s="61">
        <f>+G16/12</f>
        <v>0</v>
      </c>
    </row>
    <row r="17" spans="1:9" x14ac:dyDescent="0.3">
      <c r="A17" s="64">
        <f>+Hoja1!D15</f>
        <v>37000</v>
      </c>
      <c r="B17" s="59">
        <f t="shared" si="1"/>
        <v>1124.8</v>
      </c>
      <c r="C17" s="59">
        <f t="shared" si="2"/>
        <v>1061.9000000000001</v>
      </c>
      <c r="D17" s="64">
        <f t="shared" si="3"/>
        <v>34813.299999999996</v>
      </c>
      <c r="E17" s="64">
        <f t="shared" si="4"/>
        <v>417759.6</v>
      </c>
      <c r="F17" s="64"/>
      <c r="G17" s="64"/>
      <c r="H17" s="64"/>
      <c r="I17" s="64">
        <f>+G17/12</f>
        <v>0</v>
      </c>
    </row>
    <row r="18" spans="1:9" x14ac:dyDescent="0.3">
      <c r="A18" s="30">
        <f>+Hoja1!D16</f>
        <v>43000</v>
      </c>
      <c r="B18" s="59">
        <f t="shared" si="1"/>
        <v>1307.2</v>
      </c>
      <c r="C18" s="59">
        <f t="shared" si="2"/>
        <v>1234.0999999999999</v>
      </c>
      <c r="D18" s="30">
        <f t="shared" si="3"/>
        <v>40458.700000000004</v>
      </c>
      <c r="E18" s="30">
        <f t="shared" si="4"/>
        <v>485504.4</v>
      </c>
      <c r="F18" s="30"/>
      <c r="G18" s="30"/>
      <c r="H18" s="30"/>
      <c r="I18" s="30"/>
    </row>
    <row r="22" spans="1:9" x14ac:dyDescent="0.3">
      <c r="B22" s="4">
        <v>13580.91</v>
      </c>
    </row>
    <row r="23" spans="1:9" x14ac:dyDescent="0.3">
      <c r="B23" s="4">
        <f>+A10+B22</f>
        <v>113580.91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10" workbookViewId="0">
      <selection activeCell="A29" sqref="A29"/>
    </sheetView>
  </sheetViews>
  <sheetFormatPr defaultColWidth="11.5546875" defaultRowHeight="14.4" x14ac:dyDescent="0.3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/>
  <dimension ref="A1:X21"/>
  <sheetViews>
    <sheetView topLeftCell="G1" workbookViewId="0">
      <selection activeCell="N5" sqref="N5:N8"/>
    </sheetView>
  </sheetViews>
  <sheetFormatPr defaultColWidth="11.5546875" defaultRowHeight="14.4" x14ac:dyDescent="0.3"/>
  <cols>
    <col min="2" max="2" width="12.5546875" bestFit="1" customWidth="1"/>
    <col min="5" max="5" width="26.44140625" bestFit="1" customWidth="1"/>
    <col min="6" max="6" width="13.88671875" bestFit="1" customWidth="1"/>
    <col min="8" max="8" width="12.5546875" bestFit="1" customWidth="1"/>
    <col min="9" max="9" width="12.88671875" bestFit="1" customWidth="1"/>
    <col min="10" max="10" width="17.5546875" customWidth="1"/>
    <col min="13" max="13" width="17.88671875" bestFit="1" customWidth="1"/>
    <col min="15" max="16" width="16.44140625" customWidth="1"/>
    <col min="17" max="17" width="13.6640625" bestFit="1" customWidth="1"/>
    <col min="21" max="21" width="17.88671875" bestFit="1" customWidth="1"/>
  </cols>
  <sheetData>
    <row r="1" spans="1:24" ht="15" thickBot="1" x14ac:dyDescent="0.35"/>
    <row r="2" spans="1:24" ht="15.75" customHeight="1" thickBot="1" x14ac:dyDescent="0.35">
      <c r="B2" s="79" t="s">
        <v>79</v>
      </c>
      <c r="C2" s="80"/>
      <c r="D2" s="85" t="s">
        <v>80</v>
      </c>
      <c r="E2" s="86" t="s">
        <v>81</v>
      </c>
      <c r="F2" s="87" t="s">
        <v>82</v>
      </c>
      <c r="G2" s="85" t="s">
        <v>97</v>
      </c>
      <c r="H2" s="92" t="s">
        <v>89</v>
      </c>
      <c r="I2" s="86" t="s">
        <v>90</v>
      </c>
      <c r="J2" s="73" t="s">
        <v>120</v>
      </c>
      <c r="K2" s="93" t="s">
        <v>91</v>
      </c>
      <c r="L2" s="93"/>
      <c r="M2" s="76" t="s">
        <v>123</v>
      </c>
      <c r="N2" s="95" t="s">
        <v>98</v>
      </c>
      <c r="O2" s="85" t="s">
        <v>94</v>
      </c>
      <c r="P2" s="85" t="s">
        <v>140</v>
      </c>
      <c r="Q2" s="86" t="s">
        <v>95</v>
      </c>
      <c r="R2" s="94" t="s">
        <v>96</v>
      </c>
      <c r="S2" s="94"/>
      <c r="T2" s="94"/>
      <c r="U2" s="94"/>
      <c r="V2" s="90" t="s">
        <v>100</v>
      </c>
      <c r="W2" s="90"/>
      <c r="X2" s="91" t="s">
        <v>101</v>
      </c>
    </row>
    <row r="3" spans="1:24" x14ac:dyDescent="0.3">
      <c r="B3" s="81"/>
      <c r="C3" s="82"/>
      <c r="D3" s="85"/>
      <c r="E3" s="86"/>
      <c r="F3" s="88"/>
      <c r="G3" s="85"/>
      <c r="H3" s="92"/>
      <c r="I3" s="86"/>
      <c r="J3" s="74"/>
      <c r="K3" s="31">
        <v>2.87</v>
      </c>
      <c r="L3" s="31">
        <v>3.04</v>
      </c>
      <c r="M3" s="77"/>
      <c r="N3" s="95"/>
      <c r="O3" s="85"/>
      <c r="P3" s="85"/>
      <c r="Q3" s="86"/>
      <c r="R3" s="94" t="s">
        <v>118</v>
      </c>
      <c r="S3" s="94" t="s">
        <v>112</v>
      </c>
      <c r="T3" s="94" t="s">
        <v>99</v>
      </c>
      <c r="U3" s="94" t="s">
        <v>70</v>
      </c>
      <c r="V3" s="23">
        <v>7.1</v>
      </c>
      <c r="W3" s="24">
        <v>7.09</v>
      </c>
      <c r="X3" s="91"/>
    </row>
    <row r="4" spans="1:24" x14ac:dyDescent="0.3">
      <c r="B4" s="83"/>
      <c r="C4" s="84"/>
      <c r="D4" s="85"/>
      <c r="E4" s="86"/>
      <c r="F4" s="89"/>
      <c r="G4" s="85"/>
      <c r="H4" s="92"/>
      <c r="I4" s="86"/>
      <c r="J4" s="75"/>
      <c r="K4" s="32" t="s">
        <v>92</v>
      </c>
      <c r="L4" s="32" t="s">
        <v>93</v>
      </c>
      <c r="M4" s="78"/>
      <c r="N4" s="95"/>
      <c r="O4" s="85"/>
      <c r="P4" s="85"/>
      <c r="Q4" s="86"/>
      <c r="R4" s="94"/>
      <c r="S4" s="94"/>
      <c r="T4" s="94"/>
      <c r="U4" s="94"/>
      <c r="V4" s="25" t="s">
        <v>92</v>
      </c>
      <c r="W4" s="26" t="s">
        <v>93</v>
      </c>
      <c r="X4" s="91"/>
    </row>
    <row r="5" spans="1:24" x14ac:dyDescent="0.3">
      <c r="B5" s="12">
        <v>1</v>
      </c>
      <c r="C5" s="13" t="s">
        <v>83</v>
      </c>
      <c r="D5" s="14">
        <v>41640</v>
      </c>
      <c r="E5" s="15" t="s">
        <v>116</v>
      </c>
      <c r="F5" s="15" t="s">
        <v>136</v>
      </c>
      <c r="G5" s="16">
        <v>90000</v>
      </c>
      <c r="H5" s="19"/>
      <c r="I5" s="20"/>
      <c r="J5" s="21">
        <f>G5+H5+I5</f>
        <v>90000</v>
      </c>
      <c r="K5" s="22">
        <f>J5*K$3%</f>
        <v>2583</v>
      </c>
      <c r="L5" s="22">
        <f>J5*L$3%</f>
        <v>2736</v>
      </c>
      <c r="M5" s="22"/>
      <c r="N5" s="22"/>
      <c r="O5" s="22">
        <f>J5-K5-L5+M5+N5</f>
        <v>84681</v>
      </c>
      <c r="P5" s="22">
        <f>O5*12</f>
        <v>1016172</v>
      </c>
      <c r="Q5" s="46">
        <f>IF(P5&gt;L$16,((P5-L$16)*K$16+M$16)/12,IF(P5&gt;L$15,((P5-L$15)*K$15+M$15)/12,IF(P5&gt;L$14,((P5-L$14)*K$14+0)/12,0)))</f>
        <v>9753.1872916666671</v>
      </c>
      <c r="R5" s="19">
        <f>O5-Q5</f>
        <v>74927.812708333338</v>
      </c>
      <c r="S5" s="19"/>
      <c r="T5" s="19"/>
      <c r="U5" s="19">
        <f>R5+S5+T5</f>
        <v>74927.812708333338</v>
      </c>
      <c r="V5" s="16">
        <f>G5*V$3%</f>
        <v>6389.9999999999991</v>
      </c>
      <c r="W5" s="34">
        <f>G5*W$3%</f>
        <v>6381</v>
      </c>
      <c r="X5" s="35">
        <f>G5+V5+W5</f>
        <v>102771</v>
      </c>
    </row>
    <row r="6" spans="1:24" x14ac:dyDescent="0.3">
      <c r="B6" s="12">
        <f>+B5+1</f>
        <v>2</v>
      </c>
      <c r="C6" s="13" t="s">
        <v>84</v>
      </c>
      <c r="D6" s="17">
        <v>43466</v>
      </c>
      <c r="E6" s="15" t="s">
        <v>117</v>
      </c>
      <c r="F6" s="15" t="s">
        <v>137</v>
      </c>
      <c r="G6" s="16">
        <v>90000</v>
      </c>
      <c r="H6" s="19"/>
      <c r="I6" s="20"/>
      <c r="J6" s="21">
        <f t="shared" ref="J6:J7" si="0">G6+H6+I6</f>
        <v>90000</v>
      </c>
      <c r="K6" s="22">
        <f>J6*K$3%</f>
        <v>2583</v>
      </c>
      <c r="L6" s="22">
        <f>J6*L$3%</f>
        <v>2736</v>
      </c>
      <c r="M6" s="22"/>
      <c r="N6" s="22"/>
      <c r="O6" s="22">
        <f t="shared" ref="O6:O7" si="1">J6-K6-L6+M6+N6</f>
        <v>84681</v>
      </c>
      <c r="P6" s="22">
        <f t="shared" ref="P6:P9" si="2">O6*12</f>
        <v>1016172</v>
      </c>
      <c r="Q6" s="46">
        <f t="shared" ref="Q6:Q10" si="3">IF(P6&gt;L$16,((P6-L$16)*K$16+M$16)/12,IF(P6&gt;L$15,((P6-L$15)*K$15+M$15)/12,IF(P6&gt;L$14,((P6-L$14)*K$14+0)/12,0)))</f>
        <v>9753.1872916666671</v>
      </c>
      <c r="R6" s="19">
        <f>O6-Q6</f>
        <v>74927.812708333338</v>
      </c>
      <c r="S6" s="19"/>
      <c r="T6" s="19"/>
      <c r="U6" s="19">
        <f>R6+S6+T6</f>
        <v>74927.812708333338</v>
      </c>
      <c r="V6" s="16">
        <f>G6*V$3%</f>
        <v>6389.9999999999991</v>
      </c>
      <c r="W6" s="34">
        <f>G6*W$3%</f>
        <v>6381</v>
      </c>
      <c r="X6" s="35">
        <f t="shared" ref="X6:X9" si="4">G6+V6+W6</f>
        <v>102771</v>
      </c>
    </row>
    <row r="7" spans="1:24" x14ac:dyDescent="0.3">
      <c r="B7" s="12">
        <f t="shared" ref="B7:B10" si="5">+B6+1</f>
        <v>3</v>
      </c>
      <c r="C7" s="13" t="s">
        <v>85</v>
      </c>
      <c r="D7" s="17">
        <v>41640</v>
      </c>
      <c r="E7" s="18" t="s">
        <v>115</v>
      </c>
      <c r="F7" s="15" t="s">
        <v>138</v>
      </c>
      <c r="G7" s="16">
        <v>45000</v>
      </c>
      <c r="H7" s="19"/>
      <c r="I7" s="20"/>
      <c r="J7" s="21">
        <f t="shared" si="0"/>
        <v>45000</v>
      </c>
      <c r="K7" s="22">
        <f>J7*K$3%</f>
        <v>1291.5</v>
      </c>
      <c r="L7" s="22">
        <f>J7*L$3%</f>
        <v>1368</v>
      </c>
      <c r="M7" s="22"/>
      <c r="N7" s="22"/>
      <c r="O7" s="22">
        <f t="shared" si="1"/>
        <v>42340.5</v>
      </c>
      <c r="P7" s="22">
        <f t="shared" si="2"/>
        <v>508086</v>
      </c>
      <c r="Q7" s="46">
        <f t="shared" si="3"/>
        <v>1148.3248749999998</v>
      </c>
      <c r="R7" s="19">
        <f>O7-Q7</f>
        <v>41192.175125000002</v>
      </c>
      <c r="S7" s="19"/>
      <c r="T7" s="19"/>
      <c r="U7" s="19">
        <f>R7+S7+T7</f>
        <v>41192.175125000002</v>
      </c>
      <c r="V7" s="16">
        <f>G7*V$3%</f>
        <v>3194.9999999999995</v>
      </c>
      <c r="W7" s="34">
        <f>G7*W$3%</f>
        <v>3190.5</v>
      </c>
      <c r="X7" s="35">
        <f t="shared" si="4"/>
        <v>51385.5</v>
      </c>
    </row>
    <row r="8" spans="1:24" x14ac:dyDescent="0.3">
      <c r="B8" s="12">
        <f t="shared" si="5"/>
        <v>4</v>
      </c>
      <c r="C8" s="13" t="s">
        <v>86</v>
      </c>
      <c r="D8" s="17">
        <v>43101</v>
      </c>
      <c r="E8" s="18" t="s">
        <v>114</v>
      </c>
      <c r="F8" s="15" t="s">
        <v>139</v>
      </c>
      <c r="G8" s="16">
        <v>65000</v>
      </c>
      <c r="H8" s="19"/>
      <c r="I8" s="20"/>
      <c r="J8" s="21">
        <f>G8+H8+I8</f>
        <v>65000</v>
      </c>
      <c r="K8" s="22">
        <f>J8*K$3%</f>
        <v>1865.5</v>
      </c>
      <c r="L8" s="22">
        <f>J8*L$3%</f>
        <v>1976</v>
      </c>
      <c r="M8" s="22"/>
      <c r="N8" s="22"/>
      <c r="O8" s="22">
        <f>J8-K8-L8+M8+N8</f>
        <v>61158.5</v>
      </c>
      <c r="P8" s="22">
        <f t="shared" si="2"/>
        <v>733902</v>
      </c>
      <c r="Q8" s="46">
        <f t="shared" si="3"/>
        <v>4427.5498333333335</v>
      </c>
      <c r="R8" s="19">
        <f>O8-Q8</f>
        <v>56730.950166666669</v>
      </c>
      <c r="S8" s="19"/>
      <c r="T8" s="19"/>
      <c r="U8" s="19">
        <f>R8+S8+T8</f>
        <v>56730.950166666669</v>
      </c>
      <c r="V8" s="16">
        <f>G8*V$3%</f>
        <v>4615</v>
      </c>
      <c r="W8" s="34">
        <f>G8*W$3%</f>
        <v>4608.5</v>
      </c>
      <c r="X8" s="35">
        <f t="shared" si="4"/>
        <v>74223.5</v>
      </c>
    </row>
    <row r="9" spans="1:24" x14ac:dyDescent="0.3">
      <c r="B9" s="12">
        <f t="shared" si="5"/>
        <v>5</v>
      </c>
      <c r="C9" s="13" t="s">
        <v>87</v>
      </c>
      <c r="D9" s="17">
        <v>42736</v>
      </c>
      <c r="E9" s="18"/>
      <c r="F9" s="18"/>
      <c r="G9" s="16">
        <v>40000</v>
      </c>
      <c r="H9" s="19"/>
      <c r="I9" s="20"/>
      <c r="J9" s="21">
        <f>G9+H9+I9</f>
        <v>40000</v>
      </c>
      <c r="K9" s="22">
        <f>J9*K$3%</f>
        <v>1148</v>
      </c>
      <c r="L9" s="22">
        <f>J9*L$3%</f>
        <v>1216</v>
      </c>
      <c r="M9" s="22"/>
      <c r="N9" s="22"/>
      <c r="O9" s="22">
        <f>J9-K9-L9+M9+N9</f>
        <v>37636</v>
      </c>
      <c r="P9" s="22">
        <f t="shared" si="2"/>
        <v>451632</v>
      </c>
      <c r="Q9" s="46">
        <f t="shared" si="3"/>
        <v>442.64987499999984</v>
      </c>
      <c r="R9" s="19">
        <f>O9-Q9</f>
        <v>37193.350124999997</v>
      </c>
      <c r="S9" s="19"/>
      <c r="T9" s="19"/>
      <c r="U9" s="19">
        <f>R9+S9+T9</f>
        <v>37193.350124999997</v>
      </c>
      <c r="V9" s="16">
        <f>G9*V$3%</f>
        <v>2839.9999999999995</v>
      </c>
      <c r="W9" s="34">
        <f>G9*W$3%</f>
        <v>2836</v>
      </c>
      <c r="X9" s="35">
        <f t="shared" si="4"/>
        <v>45676</v>
      </c>
    </row>
    <row r="10" spans="1:24" x14ac:dyDescent="0.3">
      <c r="B10" s="12">
        <f t="shared" si="5"/>
        <v>6</v>
      </c>
      <c r="C10" s="13" t="s">
        <v>88</v>
      </c>
      <c r="D10" s="17">
        <v>42736</v>
      </c>
      <c r="E10" s="18"/>
      <c r="F10" s="18"/>
      <c r="G10" s="16"/>
      <c r="H10" s="19"/>
      <c r="I10" s="20"/>
      <c r="J10" s="21"/>
      <c r="K10" s="22"/>
      <c r="L10" s="22"/>
      <c r="M10" s="22"/>
      <c r="N10" s="22"/>
      <c r="O10" s="22"/>
      <c r="P10" s="22"/>
      <c r="Q10" s="46">
        <f t="shared" si="3"/>
        <v>0</v>
      </c>
      <c r="R10" s="19"/>
      <c r="S10" s="19"/>
      <c r="T10" s="19"/>
      <c r="U10" s="19"/>
      <c r="V10" s="16"/>
      <c r="W10" s="34"/>
      <c r="X10" s="7"/>
    </row>
    <row r="11" spans="1:24" x14ac:dyDescent="0.3">
      <c r="J11" t="s">
        <v>119</v>
      </c>
      <c r="O11" t="s">
        <v>124</v>
      </c>
      <c r="Q11" t="s">
        <v>121</v>
      </c>
      <c r="R11" t="s">
        <v>122</v>
      </c>
      <c r="U11" s="36">
        <f>SUM(U5:U10)</f>
        <v>284972.10083333333</v>
      </c>
      <c r="X11" t="s">
        <v>147</v>
      </c>
    </row>
    <row r="12" spans="1:24" x14ac:dyDescent="0.3">
      <c r="I12" s="33"/>
    </row>
    <row r="13" spans="1:24" x14ac:dyDescent="0.3">
      <c r="J13" s="47" t="s">
        <v>25</v>
      </c>
      <c r="K13" s="47" t="s">
        <v>24</v>
      </c>
      <c r="L13" s="47" t="s">
        <v>26</v>
      </c>
      <c r="M13" s="47"/>
    </row>
    <row r="14" spans="1:24" x14ac:dyDescent="0.3">
      <c r="A14" s="72" t="s">
        <v>113</v>
      </c>
      <c r="B14" s="72"/>
      <c r="C14" s="72"/>
      <c r="J14" s="7" t="s">
        <v>27</v>
      </c>
      <c r="K14" s="9">
        <v>0.15</v>
      </c>
      <c r="L14" s="30">
        <v>416220.01</v>
      </c>
      <c r="M14" s="8"/>
      <c r="O14" s="1"/>
      <c r="U14" s="3" t="s">
        <v>125</v>
      </c>
    </row>
    <row r="15" spans="1:24" x14ac:dyDescent="0.3">
      <c r="A15" s="7" t="s">
        <v>106</v>
      </c>
      <c r="B15" s="11">
        <v>312000</v>
      </c>
      <c r="C15" s="11">
        <f>B15*K3%</f>
        <v>8954.4</v>
      </c>
      <c r="J15" s="7" t="s">
        <v>28</v>
      </c>
      <c r="K15" s="9">
        <v>0.2</v>
      </c>
      <c r="L15" s="30">
        <v>624329.01</v>
      </c>
      <c r="M15" s="8">
        <v>31216</v>
      </c>
      <c r="O15" s="1"/>
      <c r="P15" s="1"/>
      <c r="Q15" s="45"/>
      <c r="U15" s="5">
        <f>U11*0.01</f>
        <v>2849.7210083333334</v>
      </c>
    </row>
    <row r="16" spans="1:24" x14ac:dyDescent="0.3">
      <c r="A16" s="7" t="s">
        <v>105</v>
      </c>
      <c r="B16" s="11">
        <v>156000</v>
      </c>
      <c r="C16" s="11">
        <f>B16*L3%</f>
        <v>4742.3999999999996</v>
      </c>
      <c r="J16" s="7" t="s">
        <v>29</v>
      </c>
      <c r="K16" s="9">
        <v>0.25</v>
      </c>
      <c r="L16" s="30">
        <v>867123.01</v>
      </c>
      <c r="M16" s="8">
        <v>79776</v>
      </c>
      <c r="O16" s="1"/>
      <c r="P16" s="1"/>
      <c r="Q16" s="45"/>
    </row>
    <row r="17" spans="14:17" x14ac:dyDescent="0.3">
      <c r="O17" s="1"/>
      <c r="Q17" s="5"/>
    </row>
    <row r="18" spans="14:17" x14ac:dyDescent="0.3">
      <c r="O18" s="1"/>
      <c r="Q18" s="5"/>
    </row>
    <row r="19" spans="14:17" x14ac:dyDescent="0.3">
      <c r="N19" t="s">
        <v>142</v>
      </c>
      <c r="O19" s="44" t="s">
        <v>144</v>
      </c>
      <c r="Q19" s="5"/>
    </row>
    <row r="20" spans="14:17" x14ac:dyDescent="0.3">
      <c r="N20" t="s">
        <v>141</v>
      </c>
      <c r="O20" s="44" t="s">
        <v>145</v>
      </c>
      <c r="Q20" s="5"/>
    </row>
    <row r="21" spans="14:17" x14ac:dyDescent="0.3">
      <c r="N21" t="s">
        <v>143</v>
      </c>
      <c r="O21" s="43" t="s">
        <v>146</v>
      </c>
    </row>
  </sheetData>
  <mergeCells count="22">
    <mergeCell ref="V2:W2"/>
    <mergeCell ref="X2:X4"/>
    <mergeCell ref="H2:H4"/>
    <mergeCell ref="I2:I4"/>
    <mergeCell ref="K2:L2"/>
    <mergeCell ref="O2:O4"/>
    <mergeCell ref="Q2:Q4"/>
    <mergeCell ref="R2:U2"/>
    <mergeCell ref="R3:R4"/>
    <mergeCell ref="S3:S4"/>
    <mergeCell ref="T3:T4"/>
    <mergeCell ref="U3:U4"/>
    <mergeCell ref="N2:N4"/>
    <mergeCell ref="P2:P4"/>
    <mergeCell ref="A14:C14"/>
    <mergeCell ref="J2:J4"/>
    <mergeCell ref="M2:M4"/>
    <mergeCell ref="B2:C4"/>
    <mergeCell ref="D2:D4"/>
    <mergeCell ref="E2:E4"/>
    <mergeCell ref="F2:F4"/>
    <mergeCell ref="G2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4"/>
  <dimension ref="C2:V16"/>
  <sheetViews>
    <sheetView workbookViewId="0">
      <selection activeCell="H22" sqref="H22"/>
    </sheetView>
  </sheetViews>
  <sheetFormatPr defaultColWidth="11.5546875" defaultRowHeight="14.4" x14ac:dyDescent="0.3"/>
  <cols>
    <col min="1" max="1" width="12.6640625" bestFit="1" customWidth="1"/>
    <col min="2" max="2" width="11.5546875" bestFit="1" customWidth="1"/>
    <col min="3" max="3" width="12.6640625" bestFit="1" customWidth="1"/>
    <col min="4" max="4" width="22.88671875" bestFit="1" customWidth="1"/>
    <col min="5" max="5" width="23.44140625" bestFit="1" customWidth="1"/>
    <col min="6" max="6" width="12.5546875" bestFit="1" customWidth="1"/>
    <col min="7" max="8" width="18.88671875" bestFit="1" customWidth="1"/>
    <col min="9" max="11" width="22.88671875" bestFit="1" customWidth="1"/>
  </cols>
  <sheetData>
    <row r="2" spans="3:22" x14ac:dyDescent="0.3">
      <c r="D2" s="41" t="s">
        <v>129</v>
      </c>
      <c r="E2" s="8">
        <v>2500000</v>
      </c>
      <c r="G2" s="42" t="s">
        <v>126</v>
      </c>
      <c r="H2" s="42" t="s">
        <v>135</v>
      </c>
    </row>
    <row r="3" spans="3:22" x14ac:dyDescent="0.3">
      <c r="C3" s="1"/>
      <c r="D3" s="41" t="s">
        <v>130</v>
      </c>
      <c r="E3" s="8">
        <f>E2*0.1</f>
        <v>250000</v>
      </c>
      <c r="G3" s="42" t="s">
        <v>133</v>
      </c>
      <c r="H3" s="7">
        <v>45</v>
      </c>
      <c r="V3" s="39" t="s">
        <v>33</v>
      </c>
    </row>
    <row r="4" spans="3:22" x14ac:dyDescent="0.3">
      <c r="C4" s="1"/>
      <c r="D4" s="41" t="s">
        <v>131</v>
      </c>
      <c r="E4" s="8">
        <v>400335.71</v>
      </c>
      <c r="G4" s="42" t="s">
        <v>134</v>
      </c>
      <c r="H4" s="7">
        <v>60</v>
      </c>
      <c r="V4" s="37">
        <v>43831</v>
      </c>
    </row>
    <row r="5" spans="3:22" x14ac:dyDescent="0.3">
      <c r="D5" s="41" t="s">
        <v>132</v>
      </c>
      <c r="E5" s="40">
        <f>E3/E4</f>
        <v>0.62447589299490669</v>
      </c>
      <c r="V5" s="37">
        <v>43831</v>
      </c>
    </row>
    <row r="6" spans="3:22" x14ac:dyDescent="0.3">
      <c r="F6" s="1"/>
      <c r="V6" s="37">
        <v>43831</v>
      </c>
    </row>
    <row r="7" spans="3:22" x14ac:dyDescent="0.3">
      <c r="F7" s="1"/>
      <c r="V7" s="37">
        <v>43831</v>
      </c>
    </row>
    <row r="8" spans="3:22" x14ac:dyDescent="0.3">
      <c r="V8" s="37">
        <v>43831</v>
      </c>
    </row>
    <row r="10" spans="3:22" x14ac:dyDescent="0.3">
      <c r="C10" s="39" t="s">
        <v>128</v>
      </c>
      <c r="D10" s="39" t="s">
        <v>32</v>
      </c>
      <c r="E10" s="39" t="s">
        <v>31</v>
      </c>
      <c r="F10" s="39" t="s">
        <v>126</v>
      </c>
      <c r="G10" s="39" t="s">
        <v>35</v>
      </c>
      <c r="H10" s="39" t="s">
        <v>34</v>
      </c>
      <c r="I10" s="39" t="s">
        <v>127</v>
      </c>
    </row>
    <row r="11" spans="3:22" x14ac:dyDescent="0.3">
      <c r="C11" s="7" t="s">
        <v>3</v>
      </c>
      <c r="D11" s="8">
        <v>25000</v>
      </c>
      <c r="E11" s="8">
        <f>D11/23.83</f>
        <v>1049.0977759127152</v>
      </c>
      <c r="F11" s="38">
        <v>2</v>
      </c>
      <c r="G11" s="7">
        <v>45</v>
      </c>
      <c r="H11" s="8">
        <f>G11*E11</f>
        <v>47209.39991607218</v>
      </c>
      <c r="I11" s="8">
        <f>H11*E5</f>
        <v>29481.132170342848</v>
      </c>
    </row>
    <row r="12" spans="3:22" x14ac:dyDescent="0.3">
      <c r="C12" s="7" t="s">
        <v>4</v>
      </c>
      <c r="D12" s="8">
        <v>24000</v>
      </c>
      <c r="E12" s="8">
        <f t="shared" ref="E12:E15" si="0">D12/23.83</f>
        <v>1007.1338648762065</v>
      </c>
      <c r="F12" s="38">
        <v>1</v>
      </c>
      <c r="G12" s="7">
        <v>45</v>
      </c>
      <c r="H12" s="8">
        <f t="shared" ref="H12:H15" si="1">G12*E12</f>
        <v>45321.023919429295</v>
      </c>
      <c r="I12" s="8">
        <f>H12*E$5</f>
        <v>28301.886883529136</v>
      </c>
    </row>
    <row r="13" spans="3:22" x14ac:dyDescent="0.3">
      <c r="C13" s="7" t="s">
        <v>5</v>
      </c>
      <c r="D13" s="8">
        <v>55000</v>
      </c>
      <c r="E13" s="8">
        <f t="shared" si="0"/>
        <v>2308.0151070079733</v>
      </c>
      <c r="F13" s="38">
        <v>5</v>
      </c>
      <c r="G13" s="7">
        <v>60</v>
      </c>
      <c r="H13" s="8">
        <f t="shared" si="1"/>
        <v>138480.90642047839</v>
      </c>
      <c r="I13" s="8">
        <f t="shared" ref="I13:I15" si="2">H13*E$5</f>
        <v>86477.987699672347</v>
      </c>
    </row>
    <row r="14" spans="3:22" x14ac:dyDescent="0.3">
      <c r="C14" s="7" t="s">
        <v>6</v>
      </c>
      <c r="D14" s="8">
        <v>41000</v>
      </c>
      <c r="E14" s="8">
        <f t="shared" si="0"/>
        <v>1720.5203524968529</v>
      </c>
      <c r="F14" s="38">
        <v>7</v>
      </c>
      <c r="G14" s="7">
        <v>60</v>
      </c>
      <c r="H14" s="8">
        <f t="shared" si="1"/>
        <v>103231.22114981117</v>
      </c>
      <c r="I14" s="8">
        <f t="shared" si="2"/>
        <v>64465.409012483033</v>
      </c>
    </row>
    <row r="15" spans="3:22" x14ac:dyDescent="0.3">
      <c r="C15" s="7" t="s">
        <v>7</v>
      </c>
      <c r="D15" s="8">
        <v>35000</v>
      </c>
      <c r="E15" s="8">
        <f t="shared" si="0"/>
        <v>1468.7368862778012</v>
      </c>
      <c r="F15" s="38">
        <v>1</v>
      </c>
      <c r="G15" s="7">
        <v>45</v>
      </c>
      <c r="H15" s="8">
        <f t="shared" si="1"/>
        <v>66093.159882501059</v>
      </c>
      <c r="I15" s="8">
        <f t="shared" si="2"/>
        <v>41273.585038479992</v>
      </c>
    </row>
    <row r="16" spans="3:22" x14ac:dyDescent="0.3">
      <c r="H16" s="1">
        <f>SUM(H11:H15)</f>
        <v>400335.71128829214</v>
      </c>
      <c r="I16" s="1">
        <f>SUM(I11:I15)</f>
        <v>250000.00080450735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5"/>
  <dimension ref="B3:L25"/>
  <sheetViews>
    <sheetView zoomScale="110" zoomScaleNormal="110" workbookViewId="0">
      <selection activeCell="C12" sqref="C12"/>
    </sheetView>
  </sheetViews>
  <sheetFormatPr defaultColWidth="11.5546875" defaultRowHeight="14.4" x14ac:dyDescent="0.3"/>
  <cols>
    <col min="2" max="2" width="14.88671875" bestFit="1" customWidth="1"/>
    <col min="3" max="3" width="28.88671875" bestFit="1" customWidth="1"/>
    <col min="4" max="4" width="12.5546875" bestFit="1" customWidth="1"/>
    <col min="5" max="5" width="20" bestFit="1" customWidth="1"/>
    <col min="6" max="6" width="19.44140625" bestFit="1" customWidth="1"/>
    <col min="10" max="10" width="14.88671875" bestFit="1" customWidth="1"/>
  </cols>
  <sheetData>
    <row r="3" spans="2:12" x14ac:dyDescent="0.3">
      <c r="B3" t="s">
        <v>176</v>
      </c>
      <c r="C3">
        <v>23.83</v>
      </c>
      <c r="D3" s="1"/>
      <c r="E3" s="1"/>
      <c r="F3" s="1"/>
      <c r="H3" s="1"/>
      <c r="I3" s="1"/>
    </row>
    <row r="4" spans="2:12" x14ac:dyDescent="0.3">
      <c r="B4" t="s">
        <v>177</v>
      </c>
      <c r="C4">
        <v>11.91</v>
      </c>
      <c r="D4" s="1"/>
      <c r="E4" s="1"/>
      <c r="F4" s="1"/>
      <c r="H4" s="1"/>
      <c r="I4" s="1"/>
    </row>
    <row r="5" spans="2:12" x14ac:dyDescent="0.3">
      <c r="B5" t="s">
        <v>178</v>
      </c>
      <c r="C5">
        <v>5.5</v>
      </c>
      <c r="D5" s="1"/>
      <c r="E5" s="1"/>
      <c r="F5" s="1"/>
      <c r="H5" s="1"/>
      <c r="I5" s="1"/>
    </row>
    <row r="6" spans="2:12" x14ac:dyDescent="0.3">
      <c r="D6" s="1"/>
      <c r="E6" s="1"/>
      <c r="I6" s="1"/>
    </row>
    <row r="7" spans="2:12" x14ac:dyDescent="0.3">
      <c r="B7" s="97" t="s">
        <v>78</v>
      </c>
      <c r="C7" s="97"/>
      <c r="F7" s="96" t="s">
        <v>77</v>
      </c>
      <c r="G7" s="96"/>
      <c r="H7" s="96"/>
    </row>
    <row r="8" spans="2:12" x14ac:dyDescent="0.3">
      <c r="B8" t="s">
        <v>62</v>
      </c>
      <c r="C8" s="5">
        <v>26500</v>
      </c>
      <c r="F8" s="7" t="s">
        <v>72</v>
      </c>
      <c r="G8" s="9">
        <v>0.35</v>
      </c>
      <c r="H8" s="7" t="s">
        <v>66</v>
      </c>
      <c r="L8" s="2"/>
    </row>
    <row r="9" spans="2:12" x14ac:dyDescent="0.3">
      <c r="B9" t="s">
        <v>63</v>
      </c>
      <c r="C9" s="5">
        <f>C8/23.83</f>
        <v>1112.0436424674781</v>
      </c>
      <c r="D9" t="s">
        <v>186</v>
      </c>
      <c r="F9" s="7" t="s">
        <v>65</v>
      </c>
      <c r="G9" s="9">
        <v>0.15</v>
      </c>
      <c r="H9" s="7" t="s">
        <v>67</v>
      </c>
      <c r="L9" s="2"/>
    </row>
    <row r="10" spans="2:12" x14ac:dyDescent="0.3">
      <c r="B10" t="s">
        <v>64</v>
      </c>
      <c r="C10" s="6">
        <f>C9/8</f>
        <v>139.00545530843476</v>
      </c>
      <c r="E10" s="2"/>
      <c r="F10" s="7" t="s">
        <v>76</v>
      </c>
      <c r="G10" s="9">
        <v>1</v>
      </c>
      <c r="H10" s="7"/>
    </row>
    <row r="11" spans="2:12" x14ac:dyDescent="0.3">
      <c r="C11" s="66">
        <f>+C10*35%</f>
        <v>48.651909357952164</v>
      </c>
    </row>
    <row r="12" spans="2:12" x14ac:dyDescent="0.3">
      <c r="C12" s="66">
        <f>+C11+C10</f>
        <v>187.65736466638691</v>
      </c>
      <c r="F12">
        <f>75-44</f>
        <v>31</v>
      </c>
      <c r="G12" s="1"/>
      <c r="H12" s="1"/>
    </row>
    <row r="13" spans="2:12" x14ac:dyDescent="0.3">
      <c r="H13" s="1"/>
    </row>
    <row r="14" spans="2:12" x14ac:dyDescent="0.3">
      <c r="H14" s="1"/>
    </row>
    <row r="15" spans="2:12" x14ac:dyDescent="0.3">
      <c r="B15" s="98" t="s">
        <v>77</v>
      </c>
      <c r="C15" s="98"/>
      <c r="D15" s="10" t="s">
        <v>73</v>
      </c>
      <c r="E15" s="10" t="s">
        <v>74</v>
      </c>
      <c r="F15" s="10" t="s">
        <v>75</v>
      </c>
      <c r="H15" s="1"/>
    </row>
    <row r="16" spans="2:12" x14ac:dyDescent="0.3">
      <c r="B16" s="9">
        <v>0.35</v>
      </c>
      <c r="C16" s="7" t="s">
        <v>69</v>
      </c>
      <c r="D16" s="7">
        <v>8</v>
      </c>
      <c r="E16" s="7">
        <f>C10*1.35</f>
        <v>187.65736466638694</v>
      </c>
      <c r="F16" s="11">
        <f>D16*E16</f>
        <v>1501.2589173310955</v>
      </c>
      <c r="G16" s="1"/>
      <c r="H16" s="1"/>
    </row>
    <row r="17" spans="2:8" x14ac:dyDescent="0.3">
      <c r="B17" s="9">
        <v>0.15</v>
      </c>
      <c r="C17" s="8" t="s">
        <v>68</v>
      </c>
      <c r="D17" s="7"/>
      <c r="E17" s="8">
        <f>C10*1.15</f>
        <v>159.85627360469996</v>
      </c>
      <c r="F17" s="11">
        <f>(E16+E17)*D17</f>
        <v>0</v>
      </c>
      <c r="G17" s="1"/>
    </row>
    <row r="18" spans="2:8" x14ac:dyDescent="0.3">
      <c r="B18" s="9">
        <v>1</v>
      </c>
      <c r="C18" s="7" t="s">
        <v>71</v>
      </c>
      <c r="D18" s="7">
        <v>25</v>
      </c>
      <c r="E18" s="8">
        <f>+C12</f>
        <v>187.65736466638691</v>
      </c>
      <c r="F18" s="11">
        <f>E18*D18</f>
        <v>4691.4341166596732</v>
      </c>
      <c r="G18" s="1"/>
    </row>
    <row r="19" spans="2:8" x14ac:dyDescent="0.3">
      <c r="C19" s="99" t="s">
        <v>70</v>
      </c>
      <c r="D19" s="99"/>
      <c r="E19" s="100"/>
      <c r="F19" s="8">
        <f>SUM(F16:F18)</f>
        <v>6192.6930339907685</v>
      </c>
      <c r="G19" s="1">
        <f>+C8+F19</f>
        <v>32692.69303399077</v>
      </c>
    </row>
    <row r="22" spans="2:8" x14ac:dyDescent="0.3">
      <c r="C22" t="s">
        <v>185</v>
      </c>
      <c r="D22">
        <v>25</v>
      </c>
      <c r="E22">
        <f>44+D22</f>
        <v>69</v>
      </c>
    </row>
    <row r="25" spans="2:8" x14ac:dyDescent="0.3">
      <c r="E25" s="2"/>
      <c r="F25" s="2"/>
      <c r="G25" s="6"/>
      <c r="H25" s="5"/>
    </row>
  </sheetData>
  <mergeCells count="4">
    <mergeCell ref="F7:H7"/>
    <mergeCell ref="B7:C7"/>
    <mergeCell ref="B15:C15"/>
    <mergeCell ref="C19:E1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6"/>
  <dimension ref="B2:P12"/>
  <sheetViews>
    <sheetView workbookViewId="0">
      <selection activeCell="H12" sqref="H12"/>
    </sheetView>
  </sheetViews>
  <sheetFormatPr defaultColWidth="11.5546875" defaultRowHeight="14.4" x14ac:dyDescent="0.3"/>
  <sheetData>
    <row r="2" spans="2:16" x14ac:dyDescent="0.3"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  <c r="J2" t="s">
        <v>43</v>
      </c>
      <c r="K2" t="s">
        <v>44</v>
      </c>
      <c r="L2" t="s">
        <v>45</v>
      </c>
      <c r="M2" t="s">
        <v>46</v>
      </c>
      <c r="N2" t="s">
        <v>47</v>
      </c>
      <c r="O2" t="s">
        <v>48</v>
      </c>
      <c r="P2" t="s">
        <v>36</v>
      </c>
    </row>
    <row r="3" spans="2:16" x14ac:dyDescent="0.3">
      <c r="B3" t="s">
        <v>3</v>
      </c>
      <c r="C3" t="s">
        <v>12</v>
      </c>
      <c r="D3" s="1">
        <v>70000</v>
      </c>
      <c r="E3" s="1">
        <v>70000</v>
      </c>
      <c r="F3" s="1">
        <v>70000</v>
      </c>
      <c r="G3" s="1">
        <v>70000</v>
      </c>
      <c r="H3" s="1">
        <v>70000</v>
      </c>
      <c r="I3" s="1">
        <v>70000</v>
      </c>
      <c r="J3" s="1">
        <v>70000</v>
      </c>
      <c r="K3" s="1">
        <v>70000</v>
      </c>
      <c r="L3" s="1">
        <v>70000</v>
      </c>
      <c r="M3" s="1">
        <v>70000</v>
      </c>
      <c r="N3" s="1">
        <v>70000</v>
      </c>
      <c r="O3" s="1">
        <v>70000</v>
      </c>
      <c r="P3" s="1">
        <f t="shared" ref="P3:P11" si="0">SUM(D3:O3)/12</f>
        <v>70000</v>
      </c>
    </row>
    <row r="4" spans="2:16" x14ac:dyDescent="0.3">
      <c r="B4" t="s">
        <v>4</v>
      </c>
      <c r="C4" t="s">
        <v>13</v>
      </c>
      <c r="D4" s="1">
        <v>39000</v>
      </c>
      <c r="E4" s="1">
        <v>39000</v>
      </c>
      <c r="F4" s="1">
        <v>39000</v>
      </c>
      <c r="G4" s="1">
        <v>39000</v>
      </c>
      <c r="H4" s="1">
        <v>39000</v>
      </c>
      <c r="I4" s="1">
        <v>39000</v>
      </c>
      <c r="J4" s="1">
        <v>39000</v>
      </c>
      <c r="K4" s="1">
        <v>39000</v>
      </c>
      <c r="L4" s="1">
        <v>39000</v>
      </c>
      <c r="M4" s="1">
        <v>39000</v>
      </c>
      <c r="N4" s="1">
        <v>39000</v>
      </c>
      <c r="O4" s="1">
        <v>41000</v>
      </c>
      <c r="P4" s="1">
        <f t="shared" si="0"/>
        <v>39166.666666666664</v>
      </c>
    </row>
    <row r="5" spans="2:16" x14ac:dyDescent="0.3">
      <c r="B5" t="s">
        <v>5</v>
      </c>
      <c r="C5" t="s">
        <v>14</v>
      </c>
      <c r="D5" s="1">
        <v>50290</v>
      </c>
      <c r="E5" s="1">
        <v>50290</v>
      </c>
      <c r="F5" s="1">
        <v>50290</v>
      </c>
      <c r="G5" s="1">
        <v>50290</v>
      </c>
      <c r="H5" s="1">
        <v>50290</v>
      </c>
      <c r="I5" s="1">
        <v>50290</v>
      </c>
      <c r="J5" s="1">
        <v>50290</v>
      </c>
      <c r="K5" s="1">
        <v>50290</v>
      </c>
      <c r="L5" s="1">
        <v>50290</v>
      </c>
      <c r="M5" s="1">
        <v>50290</v>
      </c>
      <c r="N5" s="1">
        <v>50290</v>
      </c>
      <c r="O5" s="1">
        <v>50290</v>
      </c>
      <c r="P5" s="1">
        <f t="shared" si="0"/>
        <v>50290</v>
      </c>
    </row>
    <row r="6" spans="2:16" x14ac:dyDescent="0.3">
      <c r="B6" t="s">
        <v>6</v>
      </c>
      <c r="C6" t="s">
        <v>15</v>
      </c>
      <c r="D6" s="1">
        <v>44000</v>
      </c>
      <c r="E6" s="1">
        <v>44000</v>
      </c>
      <c r="F6" s="1">
        <v>44000</v>
      </c>
      <c r="G6" s="1">
        <v>44000</v>
      </c>
      <c r="H6" s="1">
        <v>44000</v>
      </c>
      <c r="I6" s="1">
        <v>44000</v>
      </c>
      <c r="J6" s="1">
        <v>44000</v>
      </c>
      <c r="K6" s="1">
        <v>44000</v>
      </c>
      <c r="L6" s="1">
        <v>44000</v>
      </c>
      <c r="M6" s="1">
        <v>44000</v>
      </c>
      <c r="N6" s="1">
        <v>44000</v>
      </c>
      <c r="O6" s="1">
        <v>44000</v>
      </c>
      <c r="P6" s="1">
        <f t="shared" si="0"/>
        <v>44000</v>
      </c>
    </row>
    <row r="7" spans="2:16" x14ac:dyDescent="0.3">
      <c r="B7" t="s">
        <v>7</v>
      </c>
      <c r="C7" t="s">
        <v>16</v>
      </c>
      <c r="D7" s="1">
        <v>35110</v>
      </c>
      <c r="E7" s="1">
        <v>35110</v>
      </c>
      <c r="F7" s="1">
        <v>35110</v>
      </c>
      <c r="G7" s="1">
        <v>35110</v>
      </c>
      <c r="H7" s="1">
        <v>35110</v>
      </c>
      <c r="I7" s="1">
        <v>35110</v>
      </c>
      <c r="J7" s="1">
        <v>35110</v>
      </c>
      <c r="K7" s="1">
        <v>35110</v>
      </c>
      <c r="L7" s="1">
        <v>35110</v>
      </c>
      <c r="M7" s="1">
        <v>35110</v>
      </c>
      <c r="N7" s="1">
        <v>35110</v>
      </c>
      <c r="O7" s="1">
        <v>35110</v>
      </c>
      <c r="P7" s="1">
        <f t="shared" si="0"/>
        <v>35110</v>
      </c>
    </row>
    <row r="8" spans="2:16" x14ac:dyDescent="0.3">
      <c r="B8" t="s">
        <v>8</v>
      </c>
      <c r="C8" t="s">
        <v>17</v>
      </c>
      <c r="D8" s="1">
        <v>35300</v>
      </c>
      <c r="E8" s="1">
        <v>35300</v>
      </c>
      <c r="F8" s="1">
        <v>35300</v>
      </c>
      <c r="G8" s="1">
        <v>35300</v>
      </c>
      <c r="H8" s="1">
        <v>35300</v>
      </c>
      <c r="I8" s="1">
        <v>35300</v>
      </c>
      <c r="J8" s="1">
        <v>35300</v>
      </c>
      <c r="K8" s="1">
        <v>35300</v>
      </c>
      <c r="L8" s="1">
        <v>35300</v>
      </c>
      <c r="M8" s="1">
        <v>35300</v>
      </c>
      <c r="N8" s="1">
        <v>35300</v>
      </c>
      <c r="O8" s="1">
        <v>35300</v>
      </c>
      <c r="P8" s="1">
        <f t="shared" si="0"/>
        <v>35300</v>
      </c>
    </row>
    <row r="9" spans="2:16" x14ac:dyDescent="0.3">
      <c r="B9" t="s">
        <v>9</v>
      </c>
      <c r="C9" t="s">
        <v>18</v>
      </c>
      <c r="D9" s="1">
        <v>42350</v>
      </c>
      <c r="E9" s="1">
        <v>42350</v>
      </c>
      <c r="F9" s="1">
        <v>42350</v>
      </c>
      <c r="G9" s="1">
        <v>42350</v>
      </c>
      <c r="H9" s="1">
        <v>42350</v>
      </c>
      <c r="I9" s="1">
        <v>42350</v>
      </c>
      <c r="J9" s="1">
        <v>42350</v>
      </c>
      <c r="K9" s="1">
        <v>42350</v>
      </c>
      <c r="L9" s="1">
        <v>42350</v>
      </c>
      <c r="M9" s="1">
        <v>42350</v>
      </c>
      <c r="N9" s="1">
        <v>42350</v>
      </c>
      <c r="O9" s="1">
        <v>42350</v>
      </c>
      <c r="P9" s="1">
        <f t="shared" si="0"/>
        <v>42350</v>
      </c>
    </row>
    <row r="10" spans="2:16" x14ac:dyDescent="0.3">
      <c r="B10" t="s">
        <v>10</v>
      </c>
      <c r="C10" t="s">
        <v>19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45000</v>
      </c>
      <c r="J10" s="1">
        <v>45000</v>
      </c>
      <c r="K10" s="1">
        <v>45000</v>
      </c>
      <c r="L10" s="1">
        <v>45000</v>
      </c>
      <c r="M10" s="1">
        <v>49400</v>
      </c>
      <c r="N10" s="1">
        <v>49400</v>
      </c>
      <c r="O10" s="1">
        <v>49400</v>
      </c>
      <c r="P10" s="1">
        <f t="shared" si="0"/>
        <v>27350</v>
      </c>
    </row>
    <row r="11" spans="2:16" x14ac:dyDescent="0.3">
      <c r="B11" t="s">
        <v>11</v>
      </c>
      <c r="C11" t="s">
        <v>20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49000</v>
      </c>
      <c r="J11" s="1">
        <v>49000</v>
      </c>
      <c r="K11" s="1">
        <v>49000</v>
      </c>
      <c r="L11" s="1">
        <v>49000</v>
      </c>
      <c r="M11" s="1">
        <v>55600</v>
      </c>
      <c r="N11" s="1">
        <v>55600</v>
      </c>
      <c r="O11" s="1">
        <v>55600</v>
      </c>
      <c r="P11" s="1">
        <f t="shared" si="0"/>
        <v>30233.333333333332</v>
      </c>
    </row>
    <row r="12" spans="2:16" x14ac:dyDescent="0.3">
      <c r="P12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activeCell="K17" sqref="K17"/>
    </sheetView>
  </sheetViews>
  <sheetFormatPr defaultColWidth="11.55468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Hoja1</vt:lpstr>
      <vt:lpstr>ISR</vt:lpstr>
      <vt:lpstr>Hoja3</vt:lpstr>
      <vt:lpstr>NOMINA</vt:lpstr>
      <vt:lpstr>Bonificacion</vt:lpstr>
      <vt:lpstr>Horas extras</vt:lpstr>
      <vt:lpstr>Regalia pascual</vt:lpstr>
      <vt:lpstr>Vacaciones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Esdra Nehemias Encarnacion Ramirez</cp:lastModifiedBy>
  <dcterms:created xsi:type="dcterms:W3CDTF">2020-06-26T20:23:51Z</dcterms:created>
  <dcterms:modified xsi:type="dcterms:W3CDTF">2025-11-05T14:20:57Z</dcterms:modified>
</cp:coreProperties>
</file>